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5520" windowWidth="26505" windowHeight="5565" activeTab="2"/>
  </bookViews>
  <sheets>
    <sheet name="2009" sheetId="3" r:id="rId1"/>
    <sheet name="2010" sheetId="2" r:id="rId2"/>
    <sheet name="2011" sheetId="1" r:id="rId3"/>
  </sheets>
  <definedNames>
    <definedName name="_xlnm._FilterDatabase" localSheetId="1" hidden="1">'2010'!$A$2:$T$64</definedName>
    <definedName name="_xlnm._FilterDatabase" localSheetId="2" hidden="1">'2011'!$A$2:$S$78</definedName>
    <definedName name="_xlnm.Print_Area" localSheetId="2">'2011'!$A$48:$S$65</definedName>
  </definedNames>
  <calcPr calcId="145621"/>
</workbook>
</file>

<file path=xl/calcChain.xml><?xml version="1.0" encoding="utf-8"?>
<calcChain xmlns="http://schemas.openxmlformats.org/spreadsheetml/2006/main">
  <c r="O78" i="1" l="1"/>
  <c r="L78" i="1"/>
  <c r="O77" i="1" l="1"/>
  <c r="L81" i="1"/>
  <c r="L82" i="1" s="1"/>
  <c r="R76" i="1" l="1"/>
  <c r="O76" i="1"/>
  <c r="L75" i="1" l="1"/>
  <c r="R72" i="1" l="1"/>
  <c r="O72" i="1" l="1"/>
  <c r="O63" i="2" l="1"/>
  <c r="L63" i="2"/>
  <c r="O70" i="1"/>
  <c r="L70" i="1"/>
  <c r="R68" i="1"/>
  <c r="O67" i="1"/>
  <c r="R66" i="1"/>
  <c r="R62" i="1"/>
  <c r="L65" i="1"/>
  <c r="O65" i="1"/>
  <c r="L64" i="1"/>
  <c r="O63" i="1"/>
  <c r="L5" i="1"/>
  <c r="L9" i="1"/>
  <c r="L19" i="1"/>
  <c r="L24" i="1"/>
  <c r="O24" i="1"/>
  <c r="L31" i="1"/>
  <c r="L35" i="1"/>
  <c r="L36" i="1"/>
  <c r="L39" i="1"/>
  <c r="O39" i="1"/>
  <c r="L43" i="1"/>
  <c r="L11" i="3"/>
  <c r="O48" i="1"/>
  <c r="R47" i="1"/>
  <c r="O47" i="1"/>
  <c r="O46" i="1"/>
  <c r="R18" i="1"/>
  <c r="R16" i="1"/>
  <c r="R17" i="1"/>
  <c r="R21" i="1"/>
  <c r="R24" i="1"/>
  <c r="R32" i="1"/>
  <c r="R35" i="1"/>
  <c r="R36" i="1"/>
  <c r="O11" i="1"/>
  <c r="O17" i="1"/>
  <c r="O18" i="1"/>
  <c r="O26" i="1"/>
  <c r="O34" i="1"/>
  <c r="O37" i="1"/>
  <c r="O38" i="1"/>
  <c r="O42" i="1"/>
  <c r="O36" i="1"/>
  <c r="O29" i="1"/>
  <c r="O5" i="1"/>
  <c r="O9" i="1"/>
  <c r="O16" i="1"/>
  <c r="O35" i="1"/>
  <c r="O41" i="1"/>
  <c r="R28" i="2"/>
  <c r="R29" i="2"/>
  <c r="A7" i="1"/>
  <c r="A8" i="1" s="1"/>
  <c r="A9" i="1" s="1"/>
  <c r="A10" i="1" s="1"/>
  <c r="A3" i="3"/>
  <c r="A4" i="3"/>
  <c r="A5" i="3"/>
  <c r="A6" i="3"/>
  <c r="A7" i="3"/>
  <c r="A8" i="3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O8" i="2"/>
  <c r="R8" i="2"/>
  <c r="R13" i="2"/>
  <c r="O14" i="2"/>
  <c r="R14" i="2"/>
  <c r="R18" i="2"/>
  <c r="R26" i="2"/>
  <c r="A29" i="2"/>
  <c r="A30" i="2" s="1"/>
  <c r="A31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L31" i="2"/>
  <c r="O31" i="2"/>
  <c r="R31" i="2"/>
  <c r="R36" i="2"/>
  <c r="O40" i="2"/>
  <c r="R40" i="2"/>
  <c r="O41" i="2"/>
  <c r="R41" i="2"/>
  <c r="L43" i="2"/>
  <c r="O43" i="2"/>
  <c r="L45" i="2"/>
  <c r="R46" i="2"/>
  <c r="R47" i="2"/>
  <c r="R51" i="2"/>
  <c r="R52" i="2"/>
  <c r="L57" i="2"/>
  <c r="R58" i="2"/>
  <c r="R63" i="2" l="1"/>
  <c r="R64" i="2" s="1"/>
  <c r="R65" i="2" s="1"/>
  <c r="R81" i="1"/>
  <c r="R83" i="1" s="1"/>
  <c r="O81" i="1"/>
  <c r="R82" i="1" l="1"/>
</calcChain>
</file>

<file path=xl/sharedStrings.xml><?xml version="1.0" encoding="utf-8"?>
<sst xmlns="http://schemas.openxmlformats.org/spreadsheetml/2006/main" count="968" uniqueCount="217">
  <si>
    <t>Invoice nr</t>
  </si>
  <si>
    <t>customer order #</t>
  </si>
  <si>
    <t>Quotation nr</t>
  </si>
  <si>
    <t>Date of entry</t>
  </si>
  <si>
    <t>Who</t>
  </si>
  <si>
    <t>Company name</t>
  </si>
  <si>
    <t>Country</t>
  </si>
  <si>
    <t>Ref. No.</t>
  </si>
  <si>
    <t>Products</t>
  </si>
  <si>
    <t>Suppliers</t>
  </si>
  <si>
    <t>Supplier Ref:</t>
  </si>
  <si>
    <t xml:space="preserve">Amount TTC </t>
  </si>
  <si>
    <t>account</t>
  </si>
  <si>
    <t>Follow up status</t>
  </si>
  <si>
    <t>TVA</t>
  </si>
  <si>
    <t>Revision</t>
  </si>
  <si>
    <t>Douane</t>
  </si>
  <si>
    <t>Cost (w/o VAT)</t>
  </si>
  <si>
    <t>date of Payment Supplier</t>
  </si>
  <si>
    <t>RH</t>
  </si>
  <si>
    <t>Azbil</t>
  </si>
  <si>
    <t>BE</t>
  </si>
  <si>
    <t>Commission</t>
  </si>
  <si>
    <t>yes</t>
  </si>
  <si>
    <t>Intra-Automation</t>
  </si>
  <si>
    <t>GE</t>
  </si>
  <si>
    <t>Sales Consulting</t>
  </si>
  <si>
    <t>Intertechnique</t>
  </si>
  <si>
    <t>FR</t>
  </si>
  <si>
    <t>Mecon</t>
  </si>
  <si>
    <t>no</t>
  </si>
  <si>
    <t>Sales consulting</t>
  </si>
  <si>
    <t>Paid</t>
  </si>
  <si>
    <t>Azbil Europe N.V.</t>
  </si>
  <si>
    <t>Travel Allowance</t>
  </si>
  <si>
    <t>01/10</t>
  </si>
  <si>
    <t>Identic Poland</t>
  </si>
  <si>
    <t>PL</t>
  </si>
  <si>
    <t>E&amp;H</t>
  </si>
  <si>
    <t xml:space="preserve">Paid </t>
  </si>
  <si>
    <t>504673360 and 50468732</t>
  </si>
  <si>
    <t>FIIM07007</t>
  </si>
  <si>
    <t>A20100002</t>
  </si>
  <si>
    <t>Honeywell Oy</t>
  </si>
  <si>
    <t>FI</t>
  </si>
  <si>
    <t>ONO10052</t>
  </si>
  <si>
    <t>A20100003</t>
  </si>
  <si>
    <t>BW Fleet management</t>
  </si>
  <si>
    <t>NO</t>
  </si>
  <si>
    <t>Amco</t>
  </si>
  <si>
    <t>02/10</t>
  </si>
  <si>
    <t>Interpane</t>
  </si>
  <si>
    <t>Schmidt</t>
  </si>
  <si>
    <t>I.S.T</t>
  </si>
  <si>
    <t>NL</t>
  </si>
  <si>
    <t>Novair</t>
  </si>
  <si>
    <t>Yes</t>
  </si>
  <si>
    <t>03/10</t>
  </si>
  <si>
    <t>Mares Shipping</t>
  </si>
  <si>
    <t>A2010RH051</t>
  </si>
  <si>
    <t>Eurotech</t>
  </si>
  <si>
    <t>Intra-automation</t>
  </si>
  <si>
    <t>Ingenieurbüro Eber Gmbf</t>
  </si>
  <si>
    <t>Congorep</t>
  </si>
  <si>
    <t>CO</t>
  </si>
  <si>
    <t>paid</t>
  </si>
  <si>
    <t>Cima Technologie</t>
  </si>
  <si>
    <t>Leo Pharma</t>
  </si>
  <si>
    <t>I.E.E.</t>
  </si>
  <si>
    <t>Schwartz/D.E.R.D.</t>
  </si>
  <si>
    <t>Beta Instruments</t>
  </si>
  <si>
    <t>DK</t>
  </si>
  <si>
    <t>BM Trading Services Co.</t>
  </si>
  <si>
    <t>AU</t>
  </si>
  <si>
    <t>CRA</t>
  </si>
  <si>
    <t>done</t>
  </si>
  <si>
    <t>INA</t>
  </si>
  <si>
    <t>TS-10/065Rev03</t>
  </si>
  <si>
    <t>Entek teknik</t>
  </si>
  <si>
    <t>TU</t>
  </si>
  <si>
    <t>L 19713/UMR 6614</t>
  </si>
  <si>
    <t>C.N.R.S</t>
  </si>
  <si>
    <t>lycée Alfred Kosler</t>
  </si>
  <si>
    <t>Amount (ordered)</t>
  </si>
  <si>
    <t>To Follow up</t>
  </si>
  <si>
    <t>10 days</t>
  </si>
  <si>
    <t>Schmidt technology</t>
  </si>
  <si>
    <t>Exhibition</t>
  </si>
  <si>
    <t>end of february</t>
  </si>
  <si>
    <t>LAA</t>
  </si>
  <si>
    <t>Greenmot</t>
  </si>
  <si>
    <t>30 days</t>
  </si>
  <si>
    <t>end of March</t>
  </si>
  <si>
    <t>1103RH010</t>
  </si>
  <si>
    <t>1103RH009</t>
  </si>
  <si>
    <t>end of march</t>
  </si>
  <si>
    <t>1104RH014</t>
  </si>
  <si>
    <t>1104RH015</t>
  </si>
  <si>
    <t>1104RH016</t>
  </si>
  <si>
    <t>1104RH017</t>
  </si>
  <si>
    <t>end of May</t>
  </si>
  <si>
    <t>1104RH011</t>
  </si>
  <si>
    <t>1104RH012</t>
  </si>
  <si>
    <t>1104RH013</t>
  </si>
  <si>
    <t>Veolia Eau</t>
  </si>
  <si>
    <t>Dos Santos</t>
  </si>
  <si>
    <t xml:space="preserve">Amount HT </t>
  </si>
  <si>
    <t>1104RH018</t>
  </si>
  <si>
    <t>1104RH019</t>
  </si>
  <si>
    <t>Travel allowance</t>
  </si>
  <si>
    <t>Wesco</t>
  </si>
  <si>
    <t>UK</t>
  </si>
  <si>
    <t>advance</t>
  </si>
  <si>
    <t>SDEC</t>
  </si>
  <si>
    <t>1105RH020</t>
  </si>
  <si>
    <t>1105RH021</t>
  </si>
  <si>
    <t>1105RH022</t>
  </si>
  <si>
    <t>1105RH023</t>
  </si>
  <si>
    <t>1105RH024</t>
  </si>
  <si>
    <t>Meunier</t>
  </si>
  <si>
    <t>1105RH025</t>
  </si>
  <si>
    <t>1106RH026</t>
  </si>
  <si>
    <t>1106RH027</t>
  </si>
  <si>
    <t>OTI Industrie</t>
  </si>
  <si>
    <t>1106RH028</t>
  </si>
  <si>
    <t>end of January</t>
  </si>
  <si>
    <t>1107RH029</t>
  </si>
  <si>
    <t>1107RH030</t>
  </si>
  <si>
    <t>Bio-Rad</t>
  </si>
  <si>
    <t>1107RH031</t>
  </si>
  <si>
    <t>1107RH032</t>
  </si>
  <si>
    <t>CEA</t>
  </si>
  <si>
    <t>1107RH033</t>
  </si>
  <si>
    <t>Loos</t>
  </si>
  <si>
    <t>1107RH034</t>
  </si>
  <si>
    <t>Marliagues</t>
  </si>
  <si>
    <t>1107RH035</t>
  </si>
  <si>
    <t>1107RH036</t>
  </si>
  <si>
    <t>Cinetic</t>
  </si>
  <si>
    <t>PLM Equipements</t>
  </si>
  <si>
    <t>1107RH037</t>
  </si>
  <si>
    <t>Resogaz</t>
  </si>
  <si>
    <t>devrait être payé w30</t>
  </si>
  <si>
    <t>pb de trésorerie, devrait envoyer cheque w30</t>
  </si>
  <si>
    <t>1108RH038</t>
  </si>
  <si>
    <t>1108RH039</t>
  </si>
  <si>
    <t>1108RH040</t>
  </si>
  <si>
    <t>1108RH041</t>
  </si>
  <si>
    <t>1108RH042</t>
  </si>
  <si>
    <t>1108RH043</t>
  </si>
  <si>
    <t>1108RH044</t>
  </si>
  <si>
    <t>1108RH045</t>
  </si>
  <si>
    <t>1108RH046</t>
  </si>
  <si>
    <t>Entek</t>
  </si>
  <si>
    <t>rappel le 29/08/11</t>
  </si>
  <si>
    <t>30 jour fdm le 10</t>
  </si>
  <si>
    <t>1109RH048</t>
  </si>
  <si>
    <t>1109RH047</t>
  </si>
  <si>
    <t>recall for payment 26/09/11</t>
  </si>
  <si>
    <t>Ferropem (ERS)</t>
  </si>
  <si>
    <t>1110RH049</t>
  </si>
  <si>
    <t>1110RH050</t>
  </si>
  <si>
    <t>1110RH051</t>
  </si>
  <si>
    <t>1110RH052</t>
  </si>
  <si>
    <t>1110RH053</t>
  </si>
  <si>
    <t>1110RH054</t>
  </si>
  <si>
    <t>CIB Charpentes Française</t>
  </si>
  <si>
    <t>rappel 10/10/11</t>
  </si>
  <si>
    <t>Cofely</t>
  </si>
  <si>
    <t>Payer le 21/10/11</t>
  </si>
  <si>
    <t>IGP</t>
  </si>
  <si>
    <t>Lyonnaise des eaux</t>
  </si>
  <si>
    <t>1110RH055</t>
  </si>
  <si>
    <t>Mainco</t>
  </si>
  <si>
    <t>1110RH056</t>
  </si>
  <si>
    <t>1111RH057</t>
  </si>
  <si>
    <t>1111RH058</t>
  </si>
  <si>
    <t>1111RH059</t>
  </si>
  <si>
    <t>1111RH060</t>
  </si>
  <si>
    <t>1111RH061</t>
  </si>
  <si>
    <t>1111RH062</t>
  </si>
  <si>
    <t>TE2M</t>
  </si>
  <si>
    <t>Siem Desmet</t>
  </si>
  <si>
    <t>Sadki</t>
  </si>
  <si>
    <t>1111RH063</t>
  </si>
  <si>
    <t>Université J. Fournier</t>
  </si>
  <si>
    <t>rappel le 25/11/11</t>
  </si>
  <si>
    <t>1111RH064</t>
  </si>
  <si>
    <t>ECM technologies</t>
  </si>
  <si>
    <t>1111RH065</t>
  </si>
  <si>
    <t xml:space="preserve">ENSAM </t>
  </si>
  <si>
    <t>Eckardt</t>
  </si>
  <si>
    <t>1112RH066</t>
  </si>
  <si>
    <t>1112RH067</t>
  </si>
  <si>
    <t>rappel 06/12/11</t>
  </si>
  <si>
    <t>1112RH068</t>
  </si>
  <si>
    <t>Mines</t>
  </si>
  <si>
    <t>Kem</t>
  </si>
  <si>
    <t>1112RH069</t>
  </si>
  <si>
    <t>Université Lille 1</t>
  </si>
  <si>
    <t>rappel le 08/12/11, ok pour le 15/12/11</t>
  </si>
  <si>
    <t>1112RH070</t>
  </si>
  <si>
    <t>Menard</t>
  </si>
  <si>
    <t>1112RH071</t>
  </si>
  <si>
    <t>1112RH072</t>
  </si>
  <si>
    <t>1112RH073</t>
  </si>
  <si>
    <t>Apitech</t>
  </si>
  <si>
    <t>1112RH074</t>
  </si>
  <si>
    <t>Thermor Pacific</t>
  </si>
  <si>
    <t>1112RH075</t>
  </si>
  <si>
    <t>SDM Thermique et Contrôle</t>
  </si>
  <si>
    <t>Rappel 19/12/11</t>
  </si>
  <si>
    <t>vs 2010</t>
  </si>
  <si>
    <t>1112RH076</t>
  </si>
  <si>
    <t>Les piscicultures Bellet</t>
  </si>
  <si>
    <t>Il a Payé par BOR, mis en banque le 19/12/11</t>
  </si>
  <si>
    <t>Avis de virement via Natixis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</si>
</sst>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164" formatCode="_([$€-2]* #,##0.00_);_([$€-2]* \(#,##0.00\);_([$€-2]* \-??_)"/>
    <numFmt numFmtId="165" formatCode="[$€-2]\ #,##0"/>
    <numFmt numFmtId="166" formatCode="dd/mm/yy"/>
    <numFmt numFmtId="167" formatCode="_(* #,##0.00_);_(* \(#,##0.00\);_(* \-??_);_(@_)"/>
    <numFmt numFmtId="168" formatCode="_-[$€-2]\ * #,##0.00_-;\-[$€-2]\ * #,##0.00_-;_-[$€-2]\ * \-??_-;_-@_-"/>
    <numFmt numFmtId="169" formatCode="_-[$€-2]\ * #,##0.00_-;\-[$€-2]\ * #,##0.00_-;_-[$€-2]\ * &quot;-&quot;??_-;_-@_-"/>
    <numFmt numFmtId="170" formatCode="_([$€-2]* #,##0_);_([$€-2]* \(#,##0\);_([$€-2]* \-??_)"/>
    <numFmt numFmtId="171" formatCode="_-* #,##0\ &quot;€&quot;_-;\-* #,##0\ &quot;€&quot;_-;_-* &quot;-&quot;??\ &quot;€&quot;_-;_-@_-"/>
  </numFmts>
  <fonts count="8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4" fontId="5" fillId="0" borderId="0" applyFill="0" applyBorder="0" applyAlignment="0" applyProtection="0"/>
    <xf numFmtId="167" fontId="5" fillId="0" borderId="0" applyFill="0" applyBorder="0" applyAlignment="0" applyProtection="0"/>
    <xf numFmtId="44" fontId="1" fillId="0" borderId="0" applyFill="0" applyBorder="0" applyAlignment="0" applyProtection="0"/>
    <xf numFmtId="9" fontId="5" fillId="0" borderId="0" applyFill="0" applyBorder="0" applyAlignment="0" applyProtection="0"/>
  </cellStyleXfs>
  <cellXfs count="50">
    <xf numFmtId="0" fontId="0" fillId="0" borderId="0" xfId="0"/>
    <xf numFmtId="164" fontId="5" fillId="0" borderId="0" xfId="1" applyFill="1" applyBorder="1" applyAlignment="1" applyProtection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4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1" applyFont="1" applyFill="1" applyBorder="1" applyAlignment="1" applyProtection="1">
      <alignment horizontal="center" wrapText="1"/>
    </xf>
    <xf numFmtId="165" fontId="0" fillId="2" borderId="1" xfId="1" applyNumberFormat="1" applyFont="1" applyFill="1" applyBorder="1" applyAlignment="1" applyProtection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/>
    </xf>
    <xf numFmtId="164" fontId="3" fillId="0" borderId="0" xfId="1" applyFont="1" applyFill="1" applyBorder="1" applyAlignment="1" applyProtection="1"/>
    <xf numFmtId="0" fontId="4" fillId="0" borderId="0" xfId="0" applyFont="1"/>
    <xf numFmtId="166" fontId="3" fillId="0" borderId="0" xfId="0" applyNumberFormat="1" applyFont="1"/>
    <xf numFmtId="0" fontId="3" fillId="0" borderId="0" xfId="0" applyFont="1"/>
    <xf numFmtId="164" fontId="0" fillId="0" borderId="0" xfId="1" applyFont="1" applyFill="1" applyBorder="1" applyAlignment="1" applyProtection="1"/>
    <xf numFmtId="164" fontId="4" fillId="0" borderId="0" xfId="1" applyFont="1" applyFill="1" applyBorder="1" applyAlignment="1" applyProtection="1"/>
    <xf numFmtId="0" fontId="0" fillId="0" borderId="0" xfId="0" applyNumberFormat="1"/>
    <xf numFmtId="16" fontId="0" fillId="0" borderId="0" xfId="0" applyNumberFormat="1" applyFont="1" applyAlignment="1">
      <alignment horizontal="center"/>
    </xf>
    <xf numFmtId="0" fontId="0" fillId="0" borderId="0" xfId="0" applyFont="1"/>
    <xf numFmtId="14" fontId="0" fillId="0" borderId="0" xfId="0" applyNumberFormat="1" applyFont="1"/>
    <xf numFmtId="0" fontId="0" fillId="0" borderId="0" xfId="2" applyNumberFormat="1" applyFont="1" applyFill="1" applyBorder="1" applyAlignment="1" applyProtection="1">
      <alignment horizontal="center"/>
    </xf>
    <xf numFmtId="14" fontId="4" fillId="0" borderId="0" xfId="0" applyNumberFormat="1" applyFont="1"/>
    <xf numFmtId="164" fontId="0" fillId="0" borderId="0" xfId="0" applyNumberFormat="1"/>
    <xf numFmtId="9" fontId="0" fillId="0" borderId="0" xfId="4" applyFont="1" applyFill="1" applyBorder="1" applyAlignment="1" applyProtection="1"/>
    <xf numFmtId="168" fontId="0" fillId="0" borderId="0" xfId="0" applyNumberFormat="1"/>
    <xf numFmtId="165" fontId="0" fillId="0" borderId="0" xfId="0" applyNumberFormat="1"/>
    <xf numFmtId="0" fontId="0" fillId="3" borderId="1" xfId="0" applyFont="1" applyFill="1" applyBorder="1" applyAlignment="1">
      <alignment horizontal="center" wrapText="1"/>
    </xf>
    <xf numFmtId="164" fontId="5" fillId="0" borderId="0" xfId="1"/>
    <xf numFmtId="164" fontId="4" fillId="0" borderId="0" xfId="1" applyFont="1"/>
    <xf numFmtId="14" fontId="3" fillId="0" borderId="0" xfId="0" applyNumberFormat="1" applyFont="1"/>
    <xf numFmtId="164" fontId="3" fillId="0" borderId="0" xfId="1" applyFont="1"/>
    <xf numFmtId="164" fontId="5" fillId="0" borderId="0" xfId="1" applyFont="1" applyFill="1" applyBorder="1" applyAlignment="1" applyProtection="1"/>
    <xf numFmtId="0" fontId="5" fillId="0" borderId="0" xfId="0" applyFont="1"/>
    <xf numFmtId="164" fontId="5" fillId="0" borderId="0" xfId="1" applyFont="1"/>
    <xf numFmtId="14" fontId="5" fillId="0" borderId="0" xfId="0" applyNumberFormat="1" applyFont="1"/>
    <xf numFmtId="169" fontId="5" fillId="0" borderId="0" xfId="0" applyNumberFormat="1" applyFont="1"/>
    <xf numFmtId="170" fontId="5" fillId="0" borderId="0" xfId="1" applyNumberFormat="1" applyFill="1" applyBorder="1" applyAlignment="1" applyProtection="1"/>
    <xf numFmtId="9" fontId="5" fillId="0" borderId="0" xfId="4"/>
    <xf numFmtId="170" fontId="5" fillId="0" borderId="0" xfId="1" applyNumberFormat="1"/>
    <xf numFmtId="164" fontId="6" fillId="0" borderId="0" xfId="1" applyFont="1" applyFill="1" applyBorder="1" applyAlignment="1" applyProtection="1"/>
    <xf numFmtId="0" fontId="6" fillId="0" borderId="0" xfId="0" applyFont="1"/>
    <xf numFmtId="14" fontId="6" fillId="0" borderId="0" xfId="0" applyNumberFormat="1" applyFont="1"/>
    <xf numFmtId="164" fontId="6" fillId="0" borderId="0" xfId="1" applyFont="1"/>
    <xf numFmtId="171" fontId="1" fillId="0" borderId="0" xfId="3" applyNumberFormat="1"/>
    <xf numFmtId="164" fontId="7" fillId="0" borderId="0" xfId="1" applyFont="1" applyFill="1" applyBorder="1" applyAlignment="1" applyProtection="1"/>
    <xf numFmtId="9" fontId="5" fillId="0" borderId="0" xfId="4" applyFill="1" applyBorder="1" applyAlignment="1" applyProtection="1"/>
    <xf numFmtId="0" fontId="0" fillId="0" borderId="0" xfId="0" applyAlignment="1">
      <alignment horizontal="right"/>
    </xf>
    <xf numFmtId="169" fontId="0" fillId="0" borderId="0" xfId="0" applyNumberFormat="1" applyFont="1"/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workbookViewId="0">
      <selection activeCell="F23" sqref="F23"/>
    </sheetView>
  </sheetViews>
  <sheetFormatPr baseColWidth="10" defaultRowHeight="12.75" x14ac:dyDescent="0.2"/>
  <cols>
    <col min="1" max="1" width="7" customWidth="1"/>
    <col min="2" max="2" width="7.42578125" customWidth="1"/>
    <col min="3" max="3" width="3.140625" customWidth="1"/>
    <col min="5" max="5" width="7.28515625" customWidth="1"/>
    <col min="6" max="6" width="15.85546875" customWidth="1"/>
    <col min="7" max="7" width="7.42578125" customWidth="1"/>
    <col min="8" max="8" width="14.85546875" customWidth="1"/>
    <col min="9" max="9" width="21" customWidth="1"/>
    <col min="10" max="10" width="11.42578125" style="27" customWidth="1"/>
    <col min="11" max="11" width="13.140625" customWidth="1"/>
  </cols>
  <sheetData>
    <row r="1" spans="1:15" s="9" customFormat="1" ht="38.25" customHeight="1" x14ac:dyDescent="0.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7" t="s">
        <v>83</v>
      </c>
      <c r="M1" s="28" t="s">
        <v>13</v>
      </c>
      <c r="N1" s="3" t="s">
        <v>15</v>
      </c>
      <c r="O1" s="3" t="s">
        <v>84</v>
      </c>
    </row>
    <row r="2" spans="1:15" x14ac:dyDescent="0.2">
      <c r="A2">
        <v>9001</v>
      </c>
      <c r="B2" s="2"/>
      <c r="D2" s="10">
        <v>40087</v>
      </c>
      <c r="E2" s="11" t="s">
        <v>19</v>
      </c>
      <c r="F2" t="s">
        <v>24</v>
      </c>
      <c r="G2" t="s">
        <v>25</v>
      </c>
      <c r="I2" t="s">
        <v>31</v>
      </c>
      <c r="J2"/>
      <c r="L2">
        <v>1000</v>
      </c>
      <c r="M2" t="s">
        <v>32</v>
      </c>
    </row>
    <row r="3" spans="1:15" x14ac:dyDescent="0.2">
      <c r="A3" s="18">
        <f t="shared" ref="A3:A8" si="0">A2+1</f>
        <v>9002</v>
      </c>
      <c r="B3" s="2"/>
      <c r="D3" s="10">
        <v>40092</v>
      </c>
      <c r="E3" s="11" t="s">
        <v>19</v>
      </c>
      <c r="F3" t="s">
        <v>33</v>
      </c>
      <c r="G3" t="s">
        <v>21</v>
      </c>
      <c r="I3" t="s">
        <v>22</v>
      </c>
      <c r="J3"/>
      <c r="L3">
        <v>1936.38</v>
      </c>
      <c r="M3" t="s">
        <v>32</v>
      </c>
    </row>
    <row r="4" spans="1:15" x14ac:dyDescent="0.2">
      <c r="A4" s="18">
        <f t="shared" si="0"/>
        <v>9003</v>
      </c>
      <c r="B4" s="2"/>
      <c r="D4" s="10">
        <v>40106</v>
      </c>
      <c r="E4" s="11" t="s">
        <v>19</v>
      </c>
      <c r="F4" t="s">
        <v>33</v>
      </c>
      <c r="G4" t="s">
        <v>21</v>
      </c>
      <c r="I4" t="s">
        <v>34</v>
      </c>
      <c r="J4"/>
      <c r="L4">
        <v>180</v>
      </c>
      <c r="M4" t="s">
        <v>32</v>
      </c>
    </row>
    <row r="5" spans="1:15" x14ac:dyDescent="0.2">
      <c r="A5" s="18">
        <f t="shared" si="0"/>
        <v>9004</v>
      </c>
      <c r="B5" s="2"/>
      <c r="D5" s="10">
        <v>40119</v>
      </c>
      <c r="E5" s="11" t="s">
        <v>19</v>
      </c>
      <c r="F5" t="s">
        <v>24</v>
      </c>
      <c r="G5" t="s">
        <v>25</v>
      </c>
      <c r="I5" t="s">
        <v>31</v>
      </c>
      <c r="J5"/>
      <c r="L5">
        <v>2000</v>
      </c>
      <c r="M5" t="s">
        <v>32</v>
      </c>
    </row>
    <row r="6" spans="1:15" x14ac:dyDescent="0.2">
      <c r="A6" s="18">
        <f t="shared" si="0"/>
        <v>9005</v>
      </c>
      <c r="B6" s="2"/>
      <c r="D6" s="10">
        <v>40158</v>
      </c>
      <c r="E6" s="11" t="s">
        <v>19</v>
      </c>
      <c r="F6" t="s">
        <v>33</v>
      </c>
      <c r="G6" t="s">
        <v>21</v>
      </c>
      <c r="I6" t="s">
        <v>22</v>
      </c>
      <c r="J6"/>
      <c r="L6">
        <v>3353.77</v>
      </c>
      <c r="M6" t="s">
        <v>32</v>
      </c>
    </row>
    <row r="7" spans="1:15" x14ac:dyDescent="0.2">
      <c r="A7" s="18">
        <f t="shared" si="0"/>
        <v>9006</v>
      </c>
      <c r="B7" s="2"/>
      <c r="D7" s="10">
        <v>40148</v>
      </c>
      <c r="E7" s="11" t="s">
        <v>19</v>
      </c>
      <c r="F7" t="s">
        <v>24</v>
      </c>
      <c r="G7" t="s">
        <v>25</v>
      </c>
      <c r="I7" t="s">
        <v>31</v>
      </c>
      <c r="J7"/>
      <c r="L7">
        <v>2000</v>
      </c>
      <c r="M7" t="s">
        <v>32</v>
      </c>
    </row>
    <row r="8" spans="1:15" x14ac:dyDescent="0.2">
      <c r="A8" s="18">
        <f t="shared" si="0"/>
        <v>9007</v>
      </c>
      <c r="B8" s="2"/>
      <c r="D8" s="10">
        <v>40093</v>
      </c>
      <c r="E8" s="11" t="s">
        <v>19</v>
      </c>
      <c r="F8" t="s">
        <v>33</v>
      </c>
      <c r="G8" t="s">
        <v>21</v>
      </c>
      <c r="I8" t="s">
        <v>22</v>
      </c>
      <c r="J8"/>
      <c r="L8">
        <v>3356.15</v>
      </c>
      <c r="M8" t="s">
        <v>32</v>
      </c>
    </row>
    <row r="11" spans="1:15" x14ac:dyDescent="0.2">
      <c r="L11">
        <f>SUM(L2:L10)</f>
        <v>13826.3</v>
      </c>
    </row>
    <row r="120" ht="17.25" customHeight="1" x14ac:dyDescent="0.2"/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8"/>
  <sheetViews>
    <sheetView workbookViewId="0">
      <pane ySplit="1290" topLeftCell="A54" activePane="bottomLeft"/>
      <selection pane="bottomLeft" activeCell="L63" sqref="L63"/>
    </sheetView>
  </sheetViews>
  <sheetFormatPr baseColWidth="10" defaultRowHeight="12.75" x14ac:dyDescent="0.2"/>
  <cols>
    <col min="1" max="1" width="6.5703125" customWidth="1"/>
    <col min="2" max="2" width="13" style="2" customWidth="1"/>
    <col min="3" max="3" width="2.42578125" customWidth="1"/>
    <col min="5" max="5" width="7" customWidth="1"/>
    <col min="6" max="6" width="20.140625" customWidth="1"/>
    <col min="7" max="7" width="4.42578125" customWidth="1"/>
    <col min="8" max="8" width="3.7109375" customWidth="1"/>
    <col min="9" max="9" width="17" customWidth="1"/>
    <col min="10" max="10" width="5.5703125" customWidth="1"/>
    <col min="11" max="11" width="5.7109375" customWidth="1"/>
    <col min="12" max="12" width="10.42578125" customWidth="1"/>
    <col min="13" max="13" width="5.140625" customWidth="1"/>
    <col min="14" max="14" width="10.42578125" customWidth="1"/>
    <col min="15" max="15" width="10" customWidth="1"/>
    <col min="16" max="16" width="6.140625" customWidth="1"/>
    <col min="17" max="17" width="7" customWidth="1"/>
    <col min="18" max="18" width="14.140625" customWidth="1"/>
  </cols>
  <sheetData>
    <row r="2" spans="1:20" s="9" customFormat="1" ht="38.25" customHeight="1" x14ac:dyDescent="0.2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7" t="s">
        <v>11</v>
      </c>
      <c r="M2" s="7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</row>
    <row r="3" spans="1:20" x14ac:dyDescent="0.2">
      <c r="A3">
        <v>10001</v>
      </c>
      <c r="D3" s="10">
        <v>40182</v>
      </c>
      <c r="E3" s="11" t="s">
        <v>19</v>
      </c>
      <c r="F3" t="s">
        <v>24</v>
      </c>
      <c r="G3" t="s">
        <v>25</v>
      </c>
      <c r="I3" t="s">
        <v>31</v>
      </c>
      <c r="L3">
        <v>2000</v>
      </c>
      <c r="N3" t="s">
        <v>32</v>
      </c>
      <c r="O3">
        <v>0</v>
      </c>
      <c r="Q3" t="s">
        <v>23</v>
      </c>
      <c r="R3" s="16"/>
    </row>
    <row r="4" spans="1:20" x14ac:dyDescent="0.2">
      <c r="A4" s="18">
        <f>A3+1</f>
        <v>10002</v>
      </c>
      <c r="D4" s="10">
        <v>40185</v>
      </c>
      <c r="E4" s="11" t="s">
        <v>19</v>
      </c>
      <c r="F4" t="s">
        <v>33</v>
      </c>
      <c r="G4" t="s">
        <v>21</v>
      </c>
      <c r="I4" t="s">
        <v>22</v>
      </c>
      <c r="L4">
        <v>3332.37</v>
      </c>
      <c r="N4" t="s">
        <v>32</v>
      </c>
      <c r="O4">
        <v>0</v>
      </c>
      <c r="Q4" t="s">
        <v>23</v>
      </c>
      <c r="R4" s="16"/>
    </row>
    <row r="5" spans="1:20" x14ac:dyDescent="0.2">
      <c r="A5" s="18">
        <f t="shared" ref="A5:A44" si="0">A4+1</f>
        <v>10003</v>
      </c>
      <c r="D5" s="10">
        <v>40200</v>
      </c>
      <c r="E5" s="11" t="s">
        <v>19</v>
      </c>
      <c r="F5" t="s">
        <v>33</v>
      </c>
      <c r="G5" t="s">
        <v>21</v>
      </c>
      <c r="I5" t="s">
        <v>34</v>
      </c>
      <c r="L5">
        <v>234</v>
      </c>
      <c r="N5" t="s">
        <v>32</v>
      </c>
      <c r="O5">
        <v>0</v>
      </c>
      <c r="R5" s="16"/>
    </row>
    <row r="6" spans="1:20" x14ac:dyDescent="0.2">
      <c r="A6" s="18">
        <f t="shared" si="0"/>
        <v>10004</v>
      </c>
      <c r="D6" s="10">
        <v>40210</v>
      </c>
      <c r="E6" s="11" t="s">
        <v>19</v>
      </c>
      <c r="F6" t="s">
        <v>24</v>
      </c>
      <c r="G6" t="s">
        <v>25</v>
      </c>
      <c r="I6" t="s">
        <v>31</v>
      </c>
      <c r="L6">
        <v>2000</v>
      </c>
      <c r="N6" t="s">
        <v>32</v>
      </c>
      <c r="O6">
        <v>0</v>
      </c>
      <c r="Q6" t="s">
        <v>23</v>
      </c>
      <c r="R6" s="16"/>
    </row>
    <row r="7" spans="1:20" x14ac:dyDescent="0.2">
      <c r="A7" s="18">
        <f t="shared" si="0"/>
        <v>10005</v>
      </c>
      <c r="D7" s="10">
        <v>40220</v>
      </c>
      <c r="E7" s="11" t="s">
        <v>19</v>
      </c>
      <c r="F7" t="s">
        <v>33</v>
      </c>
      <c r="G7" t="s">
        <v>21</v>
      </c>
      <c r="I7" t="s">
        <v>22</v>
      </c>
      <c r="L7">
        <v>974.02</v>
      </c>
      <c r="N7" t="s">
        <v>32</v>
      </c>
      <c r="O7">
        <v>0</v>
      </c>
      <c r="Q7" t="s">
        <v>23</v>
      </c>
      <c r="R7" s="16"/>
    </row>
    <row r="8" spans="1:20" x14ac:dyDescent="0.2">
      <c r="A8" s="18">
        <f t="shared" si="0"/>
        <v>10006</v>
      </c>
      <c r="B8" s="19" t="s">
        <v>35</v>
      </c>
      <c r="D8" s="10">
        <v>40245</v>
      </c>
      <c r="E8" s="11" t="s">
        <v>19</v>
      </c>
      <c r="F8" t="s">
        <v>36</v>
      </c>
      <c r="G8" t="s">
        <v>37</v>
      </c>
      <c r="I8" t="s">
        <v>8</v>
      </c>
      <c r="J8" t="s">
        <v>38</v>
      </c>
      <c r="L8">
        <v>4254</v>
      </c>
      <c r="N8" t="s">
        <v>39</v>
      </c>
      <c r="O8" s="18">
        <f>557.38+167.52</f>
        <v>724.9</v>
      </c>
      <c r="P8">
        <v>2</v>
      </c>
      <c r="Q8" t="s">
        <v>23</v>
      </c>
      <c r="R8" s="16">
        <f>2843.75+854.7</f>
        <v>3698.45</v>
      </c>
      <c r="S8" s="10">
        <v>40270</v>
      </c>
      <c r="T8" t="s">
        <v>40</v>
      </c>
    </row>
    <row r="9" spans="1:20" x14ac:dyDescent="0.2">
      <c r="A9" s="18">
        <f t="shared" si="0"/>
        <v>10007</v>
      </c>
      <c r="D9" s="10">
        <v>40238</v>
      </c>
      <c r="E9" s="11" t="s">
        <v>19</v>
      </c>
      <c r="F9" t="s">
        <v>24</v>
      </c>
      <c r="G9" t="s">
        <v>25</v>
      </c>
      <c r="I9" t="s">
        <v>31</v>
      </c>
      <c r="L9">
        <v>2000</v>
      </c>
      <c r="N9" t="s">
        <v>32</v>
      </c>
      <c r="O9">
        <v>0</v>
      </c>
      <c r="Q9" t="s">
        <v>23</v>
      </c>
      <c r="R9" s="16"/>
    </row>
    <row r="10" spans="1:20" x14ac:dyDescent="0.2">
      <c r="A10" s="18">
        <f t="shared" si="0"/>
        <v>10008</v>
      </c>
      <c r="D10" s="10">
        <v>40245</v>
      </c>
      <c r="E10" s="11" t="s">
        <v>19</v>
      </c>
      <c r="F10" t="s">
        <v>33</v>
      </c>
      <c r="G10" t="s">
        <v>21</v>
      </c>
      <c r="I10" t="s">
        <v>22</v>
      </c>
      <c r="L10">
        <v>1753.92</v>
      </c>
      <c r="N10" t="s">
        <v>32</v>
      </c>
      <c r="O10">
        <v>0</v>
      </c>
      <c r="Q10" t="s">
        <v>23</v>
      </c>
      <c r="R10" s="16"/>
    </row>
    <row r="11" spans="1:20" x14ac:dyDescent="0.2">
      <c r="A11" s="18">
        <f t="shared" si="0"/>
        <v>10009</v>
      </c>
      <c r="D11" s="10">
        <v>40256</v>
      </c>
      <c r="E11" s="11" t="s">
        <v>19</v>
      </c>
      <c r="F11" t="s">
        <v>33</v>
      </c>
      <c r="G11" t="s">
        <v>21</v>
      </c>
      <c r="I11" t="s">
        <v>34</v>
      </c>
      <c r="L11" s="20">
        <v>180</v>
      </c>
      <c r="N11" t="s">
        <v>32</v>
      </c>
      <c r="O11">
        <v>0</v>
      </c>
      <c r="R11" s="16"/>
    </row>
    <row r="12" spans="1:20" x14ac:dyDescent="0.2">
      <c r="A12" s="18">
        <f t="shared" si="0"/>
        <v>10010</v>
      </c>
      <c r="B12" s="2" t="s">
        <v>41</v>
      </c>
      <c r="C12" t="s">
        <v>42</v>
      </c>
      <c r="D12" s="10">
        <v>40259</v>
      </c>
      <c r="E12" s="11" t="s">
        <v>19</v>
      </c>
      <c r="F12" t="s">
        <v>43</v>
      </c>
      <c r="G12" t="s">
        <v>44</v>
      </c>
      <c r="I12" t="s">
        <v>8</v>
      </c>
      <c r="J12" t="s">
        <v>38</v>
      </c>
      <c r="L12" s="20">
        <v>2690</v>
      </c>
      <c r="N12" t="s">
        <v>32</v>
      </c>
      <c r="O12">
        <v>0</v>
      </c>
      <c r="Q12" t="s">
        <v>23</v>
      </c>
      <c r="R12" s="16">
        <v>2017.4</v>
      </c>
      <c r="S12" s="10">
        <v>40283</v>
      </c>
      <c r="T12">
        <v>50470648</v>
      </c>
    </row>
    <row r="13" spans="1:20" x14ac:dyDescent="0.2">
      <c r="A13" s="18">
        <f t="shared" si="0"/>
        <v>10011</v>
      </c>
      <c r="B13" s="2" t="s">
        <v>45</v>
      </c>
      <c r="C13" t="s">
        <v>46</v>
      </c>
      <c r="D13" s="10">
        <v>40260</v>
      </c>
      <c r="E13" s="11" t="s">
        <v>19</v>
      </c>
      <c r="F13" t="s">
        <v>47</v>
      </c>
      <c r="G13" t="s">
        <v>48</v>
      </c>
      <c r="I13" t="s">
        <v>8</v>
      </c>
      <c r="J13" t="s">
        <v>49</v>
      </c>
      <c r="L13" s="20">
        <v>2324</v>
      </c>
      <c r="N13" t="s">
        <v>32</v>
      </c>
      <c r="O13">
        <v>0</v>
      </c>
      <c r="R13" s="16">
        <f>126600/120</f>
        <v>1055</v>
      </c>
      <c r="S13" s="10">
        <v>40287</v>
      </c>
    </row>
    <row r="14" spans="1:20" x14ac:dyDescent="0.2">
      <c r="A14" s="18">
        <f t="shared" si="0"/>
        <v>10012</v>
      </c>
      <c r="B14" s="19" t="s">
        <v>50</v>
      </c>
      <c r="D14" s="10">
        <v>40267</v>
      </c>
      <c r="E14" s="11" t="s">
        <v>19</v>
      </c>
      <c r="F14" t="s">
        <v>36</v>
      </c>
      <c r="G14" t="s">
        <v>37</v>
      </c>
      <c r="I14" t="s">
        <v>8</v>
      </c>
      <c r="J14" t="s">
        <v>38</v>
      </c>
      <c r="L14" s="20">
        <v>17448</v>
      </c>
      <c r="M14">
        <v>3448</v>
      </c>
      <c r="N14" t="s">
        <v>32</v>
      </c>
      <c r="O14" s="18">
        <f>627.2+2234.4+133.28</f>
        <v>2994.8800000000006</v>
      </c>
      <c r="P14">
        <v>1</v>
      </c>
      <c r="Q14" t="s">
        <v>23</v>
      </c>
      <c r="R14" s="16">
        <f>11400+3200+680</f>
        <v>15280</v>
      </c>
      <c r="S14" s="21">
        <v>40293</v>
      </c>
    </row>
    <row r="15" spans="1:20" x14ac:dyDescent="0.2">
      <c r="A15" s="18">
        <f t="shared" si="0"/>
        <v>10013</v>
      </c>
      <c r="D15" s="10">
        <v>40274</v>
      </c>
      <c r="E15" s="11" t="s">
        <v>19</v>
      </c>
      <c r="F15" t="s">
        <v>24</v>
      </c>
      <c r="G15" t="s">
        <v>25</v>
      </c>
      <c r="I15" t="s">
        <v>31</v>
      </c>
      <c r="L15">
        <v>2000</v>
      </c>
      <c r="N15" t="s">
        <v>32</v>
      </c>
      <c r="O15">
        <v>0</v>
      </c>
      <c r="Q15" t="s">
        <v>23</v>
      </c>
      <c r="R15" s="16"/>
    </row>
    <row r="16" spans="1:20" x14ac:dyDescent="0.2">
      <c r="A16" s="18">
        <f t="shared" si="0"/>
        <v>10014</v>
      </c>
      <c r="D16" s="10">
        <v>40274</v>
      </c>
      <c r="E16" s="11" t="s">
        <v>19</v>
      </c>
      <c r="F16" t="s">
        <v>33</v>
      </c>
      <c r="G16" t="s">
        <v>21</v>
      </c>
      <c r="I16" t="s">
        <v>22</v>
      </c>
      <c r="L16" s="20">
        <v>5097.8999999999996</v>
      </c>
      <c r="N16" t="s">
        <v>32</v>
      </c>
      <c r="O16">
        <v>0</v>
      </c>
      <c r="Q16" t="s">
        <v>23</v>
      </c>
      <c r="R16" s="16"/>
    </row>
    <row r="17" spans="1:19" x14ac:dyDescent="0.2">
      <c r="A17" s="18">
        <f t="shared" si="0"/>
        <v>10015</v>
      </c>
      <c r="D17" s="10">
        <v>40287</v>
      </c>
      <c r="E17" s="11" t="s">
        <v>19</v>
      </c>
      <c r="F17" t="s">
        <v>51</v>
      </c>
      <c r="G17" t="s">
        <v>28</v>
      </c>
      <c r="I17" t="s">
        <v>8</v>
      </c>
      <c r="J17" t="s">
        <v>52</v>
      </c>
      <c r="L17" s="20">
        <v>901.78</v>
      </c>
      <c r="N17" t="s">
        <v>32</v>
      </c>
      <c r="O17">
        <v>-147.78399999999999</v>
      </c>
      <c r="Q17" t="s">
        <v>30</v>
      </c>
      <c r="R17" s="16">
        <v>527.79999999999995</v>
      </c>
      <c r="S17" s="21">
        <v>40310</v>
      </c>
    </row>
    <row r="18" spans="1:19" x14ac:dyDescent="0.2">
      <c r="A18" s="18">
        <f t="shared" si="0"/>
        <v>10016</v>
      </c>
      <c r="B18" s="2">
        <v>15879</v>
      </c>
      <c r="D18" s="10">
        <v>40280</v>
      </c>
      <c r="E18" s="11" t="s">
        <v>19</v>
      </c>
      <c r="F18" t="s">
        <v>53</v>
      </c>
      <c r="G18" t="s">
        <v>54</v>
      </c>
      <c r="I18" t="s">
        <v>8</v>
      </c>
      <c r="J18" t="s">
        <v>49</v>
      </c>
      <c r="L18" s="20">
        <v>800</v>
      </c>
      <c r="N18" t="s">
        <v>32</v>
      </c>
      <c r="O18">
        <v>0</v>
      </c>
      <c r="R18" s="16">
        <f>50000/120</f>
        <v>416.66666666666669</v>
      </c>
      <c r="S18" s="21">
        <v>40327</v>
      </c>
    </row>
    <row r="19" spans="1:19" x14ac:dyDescent="0.2">
      <c r="A19" s="18">
        <f t="shared" si="0"/>
        <v>10017</v>
      </c>
      <c r="B19" s="2">
        <v>7559</v>
      </c>
      <c r="D19" s="10">
        <v>40298</v>
      </c>
      <c r="E19" s="11" t="s">
        <v>19</v>
      </c>
      <c r="F19" t="s">
        <v>55</v>
      </c>
      <c r="G19" t="s">
        <v>28</v>
      </c>
      <c r="I19" t="s">
        <v>8</v>
      </c>
      <c r="J19" t="s">
        <v>20</v>
      </c>
      <c r="L19" s="20">
        <v>614.74</v>
      </c>
      <c r="N19" t="s">
        <v>32</v>
      </c>
      <c r="O19">
        <v>-100.74</v>
      </c>
      <c r="Q19" t="s">
        <v>30</v>
      </c>
      <c r="R19" s="16">
        <v>394</v>
      </c>
      <c r="S19" s="21">
        <v>40327</v>
      </c>
    </row>
    <row r="20" spans="1:19" x14ac:dyDescent="0.2">
      <c r="A20" s="18">
        <f t="shared" si="0"/>
        <v>10018</v>
      </c>
      <c r="D20" s="10">
        <v>40301</v>
      </c>
      <c r="E20" s="11" t="s">
        <v>19</v>
      </c>
      <c r="F20" t="s">
        <v>24</v>
      </c>
      <c r="G20" t="s">
        <v>25</v>
      </c>
      <c r="I20" t="s">
        <v>31</v>
      </c>
      <c r="L20" s="20">
        <v>2000</v>
      </c>
      <c r="N20" t="s">
        <v>32</v>
      </c>
      <c r="O20">
        <v>0</v>
      </c>
      <c r="Q20" s="20" t="s">
        <v>56</v>
      </c>
      <c r="R20" s="16"/>
    </row>
    <row r="21" spans="1:19" x14ac:dyDescent="0.2">
      <c r="A21" s="18">
        <f t="shared" si="0"/>
        <v>10019</v>
      </c>
      <c r="D21" s="10">
        <v>40310</v>
      </c>
      <c r="E21" s="11" t="s">
        <v>19</v>
      </c>
      <c r="F21" t="s">
        <v>33</v>
      </c>
      <c r="G21" t="s">
        <v>21</v>
      </c>
      <c r="I21" t="s">
        <v>22</v>
      </c>
      <c r="L21" s="20">
        <v>7210.8</v>
      </c>
      <c r="M21" s="20"/>
      <c r="N21" s="20" t="s">
        <v>32</v>
      </c>
      <c r="O21" s="20">
        <v>0</v>
      </c>
      <c r="Q21" s="20" t="s">
        <v>56</v>
      </c>
      <c r="R21" s="16"/>
    </row>
    <row r="22" spans="1:19" x14ac:dyDescent="0.2">
      <c r="A22" s="18">
        <f t="shared" si="0"/>
        <v>10020</v>
      </c>
      <c r="B22" s="19" t="s">
        <v>57</v>
      </c>
      <c r="D22" s="10">
        <v>40315</v>
      </c>
      <c r="E22" s="11" t="s">
        <v>19</v>
      </c>
      <c r="F22" t="s">
        <v>36</v>
      </c>
      <c r="G22" t="s">
        <v>37</v>
      </c>
      <c r="I22" t="s">
        <v>8</v>
      </c>
      <c r="J22" t="s">
        <v>38</v>
      </c>
      <c r="L22" s="20">
        <v>11073</v>
      </c>
      <c r="M22" s="20"/>
      <c r="N22" s="21" t="s">
        <v>32</v>
      </c>
      <c r="O22" s="20">
        <v>1942.16</v>
      </c>
      <c r="P22" s="13"/>
      <c r="Q22" s="20" t="s">
        <v>56</v>
      </c>
      <c r="R22" s="16">
        <v>9909</v>
      </c>
      <c r="S22" s="21">
        <v>40326</v>
      </c>
    </row>
    <row r="23" spans="1:19" x14ac:dyDescent="0.2">
      <c r="A23" s="18">
        <f t="shared" si="0"/>
        <v>10021</v>
      </c>
      <c r="D23" s="10">
        <v>40319</v>
      </c>
      <c r="E23" s="11" t="s">
        <v>19</v>
      </c>
      <c r="F23" t="s">
        <v>33</v>
      </c>
      <c r="G23" t="s">
        <v>21</v>
      </c>
      <c r="I23" t="s">
        <v>34</v>
      </c>
      <c r="L23" s="20">
        <v>290</v>
      </c>
      <c r="M23" s="20"/>
      <c r="N23" s="20" t="s">
        <v>32</v>
      </c>
      <c r="O23" s="20"/>
      <c r="Q23" s="20" t="s">
        <v>30</v>
      </c>
      <c r="R23" s="16"/>
    </row>
    <row r="24" spans="1:19" x14ac:dyDescent="0.2">
      <c r="A24" s="18">
        <f t="shared" si="0"/>
        <v>10022</v>
      </c>
      <c r="D24" s="10">
        <v>40331</v>
      </c>
      <c r="E24" s="11" t="s">
        <v>19</v>
      </c>
      <c r="F24" t="s">
        <v>24</v>
      </c>
      <c r="G24" t="s">
        <v>25</v>
      </c>
      <c r="I24" t="s">
        <v>31</v>
      </c>
      <c r="L24" s="20">
        <v>2000</v>
      </c>
      <c r="M24" s="20"/>
      <c r="N24" s="20" t="s">
        <v>32</v>
      </c>
      <c r="O24" s="20"/>
      <c r="P24" s="13"/>
      <c r="Q24" s="20" t="s">
        <v>56</v>
      </c>
      <c r="R24" s="16"/>
    </row>
    <row r="25" spans="1:19" x14ac:dyDescent="0.2">
      <c r="A25" s="18">
        <f t="shared" si="0"/>
        <v>10023</v>
      </c>
      <c r="D25" s="10">
        <v>40332</v>
      </c>
      <c r="E25" s="11" t="s">
        <v>19</v>
      </c>
      <c r="F25" t="s">
        <v>33</v>
      </c>
      <c r="G25" t="s">
        <v>21</v>
      </c>
      <c r="I25" t="s">
        <v>22</v>
      </c>
      <c r="L25" s="20">
        <v>6916.73</v>
      </c>
      <c r="M25" s="20"/>
      <c r="N25" s="20" t="s">
        <v>32</v>
      </c>
      <c r="O25" s="20"/>
      <c r="P25" s="20"/>
      <c r="Q25" s="20" t="s">
        <v>56</v>
      </c>
      <c r="R25" s="16"/>
    </row>
    <row r="26" spans="1:19" x14ac:dyDescent="0.2">
      <c r="A26" s="18">
        <f t="shared" si="0"/>
        <v>10024</v>
      </c>
      <c r="D26" s="10">
        <v>40347</v>
      </c>
      <c r="E26" s="11" t="s">
        <v>19</v>
      </c>
      <c r="F26" t="s">
        <v>58</v>
      </c>
      <c r="G26" t="s">
        <v>25</v>
      </c>
      <c r="I26" t="s">
        <v>8</v>
      </c>
      <c r="J26" t="s">
        <v>49</v>
      </c>
      <c r="L26" s="20">
        <v>1760</v>
      </c>
      <c r="M26" s="20"/>
      <c r="N26" s="20" t="s">
        <v>32</v>
      </c>
      <c r="O26" s="20">
        <v>0</v>
      </c>
      <c r="P26" s="13"/>
      <c r="Q26" s="20" t="s">
        <v>30</v>
      </c>
      <c r="R26" s="16">
        <f>135000/110</f>
        <v>1227.2727272727273</v>
      </c>
      <c r="S26" s="21">
        <v>40389</v>
      </c>
    </row>
    <row r="27" spans="1:19" x14ac:dyDescent="0.2">
      <c r="A27" s="18">
        <f t="shared" si="0"/>
        <v>10025</v>
      </c>
      <c r="D27" s="10">
        <v>40360</v>
      </c>
      <c r="E27" s="11" t="s">
        <v>19</v>
      </c>
      <c r="F27" t="s">
        <v>24</v>
      </c>
      <c r="G27" t="s">
        <v>25</v>
      </c>
      <c r="I27" t="s">
        <v>31</v>
      </c>
      <c r="L27" s="20">
        <v>2000</v>
      </c>
      <c r="M27" s="20"/>
      <c r="N27" s="20" t="s">
        <v>32</v>
      </c>
      <c r="O27" s="20">
        <v>0</v>
      </c>
      <c r="P27" s="20"/>
      <c r="Q27" s="20" t="s">
        <v>56</v>
      </c>
      <c r="R27" s="16">
        <v>0</v>
      </c>
    </row>
    <row r="28" spans="1:19" x14ac:dyDescent="0.2">
      <c r="A28">
        <v>10027</v>
      </c>
      <c r="D28" s="10">
        <v>40367</v>
      </c>
      <c r="E28" s="11" t="s">
        <v>19</v>
      </c>
      <c r="F28" t="s">
        <v>33</v>
      </c>
      <c r="G28" t="s">
        <v>21</v>
      </c>
      <c r="I28" t="s">
        <v>22</v>
      </c>
      <c r="L28" s="20">
        <v>1846.78</v>
      </c>
      <c r="M28" s="20"/>
      <c r="N28" s="20" t="s">
        <v>32</v>
      </c>
      <c r="O28" s="20">
        <v>0</v>
      </c>
      <c r="P28" s="20"/>
      <c r="Q28" s="20" t="s">
        <v>56</v>
      </c>
      <c r="R28" s="16">
        <f>L28+O28</f>
        <v>1846.78</v>
      </c>
      <c r="S28" s="20"/>
    </row>
    <row r="29" spans="1:19" x14ac:dyDescent="0.2">
      <c r="A29" s="18">
        <f t="shared" si="0"/>
        <v>10028</v>
      </c>
      <c r="D29" s="10">
        <v>40367</v>
      </c>
      <c r="E29" s="11" t="s">
        <v>19</v>
      </c>
      <c r="F29" t="s">
        <v>33</v>
      </c>
      <c r="G29" t="s">
        <v>21</v>
      </c>
      <c r="I29" t="s">
        <v>34</v>
      </c>
      <c r="L29" s="20">
        <v>180</v>
      </c>
      <c r="M29" s="20"/>
      <c r="N29" s="20" t="s">
        <v>32</v>
      </c>
      <c r="O29" s="20"/>
      <c r="P29" s="20"/>
      <c r="Q29" s="20" t="s">
        <v>30</v>
      </c>
      <c r="R29" s="16">
        <f>L29+O29</f>
        <v>180</v>
      </c>
      <c r="S29" s="20"/>
    </row>
    <row r="30" spans="1:19" x14ac:dyDescent="0.2">
      <c r="A30" s="18">
        <f t="shared" si="0"/>
        <v>10029</v>
      </c>
      <c r="B30" s="22">
        <v>201001944</v>
      </c>
      <c r="C30" t="s">
        <v>59</v>
      </c>
      <c r="D30" s="10">
        <v>40380</v>
      </c>
      <c r="E30" s="11" t="s">
        <v>19</v>
      </c>
      <c r="F30" t="s">
        <v>60</v>
      </c>
      <c r="G30" t="s">
        <v>28</v>
      </c>
      <c r="I30" t="s">
        <v>8</v>
      </c>
      <c r="J30" t="s">
        <v>52</v>
      </c>
      <c r="L30" s="20">
        <v>1590.68</v>
      </c>
      <c r="M30" s="20"/>
      <c r="N30" s="20" t="s">
        <v>32</v>
      </c>
      <c r="O30" s="20">
        <v>-260.68</v>
      </c>
      <c r="Q30" s="20" t="s">
        <v>30</v>
      </c>
      <c r="R30" s="16">
        <v>931</v>
      </c>
      <c r="S30" s="21">
        <v>40409</v>
      </c>
    </row>
    <row r="31" spans="1:19" x14ac:dyDescent="0.2">
      <c r="A31" s="18">
        <f t="shared" si="0"/>
        <v>10030</v>
      </c>
      <c r="B31" s="19"/>
      <c r="D31" s="10">
        <v>40382</v>
      </c>
      <c r="E31" s="11" t="s">
        <v>19</v>
      </c>
      <c r="F31" t="s">
        <v>36</v>
      </c>
      <c r="G31" t="s">
        <v>37</v>
      </c>
      <c r="I31" t="s">
        <v>8</v>
      </c>
      <c r="J31" t="s">
        <v>38</v>
      </c>
      <c r="L31" s="20">
        <f>26168</f>
        <v>26168</v>
      </c>
      <c r="M31" s="20"/>
      <c r="N31" s="20" t="s">
        <v>32</v>
      </c>
      <c r="O31" s="18">
        <f>(935.17+608.64)</f>
        <v>1543.81</v>
      </c>
      <c r="Q31" s="20" t="s">
        <v>23</v>
      </c>
      <c r="R31" s="16">
        <f>4771.25+3105.3</f>
        <v>7876.55</v>
      </c>
      <c r="S31" s="21">
        <v>40389</v>
      </c>
    </row>
    <row r="32" spans="1:19" x14ac:dyDescent="0.2">
      <c r="B32" s="19"/>
      <c r="D32" s="10"/>
      <c r="E32" s="11"/>
      <c r="F32" t="s">
        <v>36</v>
      </c>
      <c r="G32" t="s">
        <v>37</v>
      </c>
      <c r="I32" t="s">
        <v>8</v>
      </c>
      <c r="J32" t="s">
        <v>38</v>
      </c>
      <c r="N32" s="20"/>
      <c r="O32" s="20">
        <v>3145.39</v>
      </c>
      <c r="P32" s="20"/>
      <c r="Q32" s="20" t="s">
        <v>23</v>
      </c>
      <c r="R32" s="16">
        <v>16047.93</v>
      </c>
      <c r="S32" s="21">
        <v>40410</v>
      </c>
    </row>
    <row r="33" spans="1:19" x14ac:dyDescent="0.2">
      <c r="A33" s="18">
        <f>A31+1</f>
        <v>10031</v>
      </c>
      <c r="D33" s="10">
        <v>40392</v>
      </c>
      <c r="E33" s="11" t="s">
        <v>19</v>
      </c>
      <c r="F33" t="s">
        <v>33</v>
      </c>
      <c r="G33" t="s">
        <v>21</v>
      </c>
      <c r="I33" t="s">
        <v>22</v>
      </c>
      <c r="L33" s="20">
        <v>11710.2</v>
      </c>
      <c r="M33" s="20"/>
      <c r="N33" s="20" t="s">
        <v>32</v>
      </c>
      <c r="O33" s="13"/>
      <c r="P33" s="13"/>
      <c r="Q33" s="20" t="s">
        <v>23</v>
      </c>
      <c r="R33" s="17"/>
      <c r="S33" s="23"/>
    </row>
    <row r="34" spans="1:19" x14ac:dyDescent="0.2">
      <c r="A34" s="18">
        <f t="shared" si="0"/>
        <v>10032</v>
      </c>
      <c r="D34" s="10">
        <v>40397</v>
      </c>
      <c r="E34" s="11" t="s">
        <v>19</v>
      </c>
      <c r="F34" t="s">
        <v>61</v>
      </c>
      <c r="G34" t="s">
        <v>25</v>
      </c>
      <c r="I34" t="s">
        <v>26</v>
      </c>
      <c r="L34" s="20">
        <v>2000</v>
      </c>
      <c r="M34" s="20"/>
      <c r="N34" s="20" t="s">
        <v>32</v>
      </c>
      <c r="O34" s="20">
        <v>0</v>
      </c>
      <c r="P34" s="20"/>
      <c r="Q34" s="20" t="s">
        <v>56</v>
      </c>
      <c r="R34" s="16"/>
      <c r="S34" s="21"/>
    </row>
    <row r="35" spans="1:19" x14ac:dyDescent="0.2">
      <c r="A35" s="18">
        <f t="shared" si="0"/>
        <v>10033</v>
      </c>
      <c r="D35" s="10">
        <v>40405</v>
      </c>
      <c r="E35" s="11" t="s">
        <v>19</v>
      </c>
      <c r="F35" t="s">
        <v>62</v>
      </c>
      <c r="G35" t="s">
        <v>25</v>
      </c>
      <c r="I35" t="s">
        <v>8</v>
      </c>
      <c r="J35" t="s">
        <v>38</v>
      </c>
      <c r="L35" s="20">
        <v>5960</v>
      </c>
      <c r="M35" s="20"/>
      <c r="N35" s="20" t="s">
        <v>32</v>
      </c>
      <c r="O35" s="20">
        <v>1062.05</v>
      </c>
      <c r="P35" s="20"/>
      <c r="Q35" s="20" t="s">
        <v>56</v>
      </c>
      <c r="R35" s="16">
        <v>5418.6</v>
      </c>
      <c r="S35" s="21">
        <v>40430</v>
      </c>
    </row>
    <row r="36" spans="1:19" x14ac:dyDescent="0.2">
      <c r="A36" s="18">
        <f t="shared" si="0"/>
        <v>10034</v>
      </c>
      <c r="D36" s="10">
        <v>40417</v>
      </c>
      <c r="E36" s="11" t="s">
        <v>19</v>
      </c>
      <c r="F36" t="s">
        <v>63</v>
      </c>
      <c r="G36" t="s">
        <v>64</v>
      </c>
      <c r="I36" t="s">
        <v>8</v>
      </c>
      <c r="J36" t="s">
        <v>52</v>
      </c>
      <c r="L36" s="20">
        <v>5712</v>
      </c>
      <c r="M36" s="20"/>
      <c r="N36" s="21">
        <v>40479</v>
      </c>
      <c r="O36" s="20">
        <v>0</v>
      </c>
      <c r="P36" s="20"/>
      <c r="Q36" s="20" t="s">
        <v>30</v>
      </c>
      <c r="R36" s="16">
        <f>1010.99+2965.88</f>
        <v>3976.87</v>
      </c>
      <c r="S36" s="21">
        <v>40448</v>
      </c>
    </row>
    <row r="37" spans="1:19" x14ac:dyDescent="0.2">
      <c r="A37" s="18">
        <f t="shared" si="0"/>
        <v>10035</v>
      </c>
      <c r="D37" s="10">
        <v>40423</v>
      </c>
      <c r="E37" s="11" t="s">
        <v>19</v>
      </c>
      <c r="F37" t="s">
        <v>61</v>
      </c>
      <c r="G37" t="s">
        <v>25</v>
      </c>
      <c r="I37" t="s">
        <v>26</v>
      </c>
      <c r="L37" s="20">
        <v>2000</v>
      </c>
      <c r="M37" s="20"/>
      <c r="N37" s="20" t="s">
        <v>65</v>
      </c>
      <c r="O37" s="20">
        <v>0</v>
      </c>
      <c r="P37" s="20"/>
      <c r="Q37" s="20" t="s">
        <v>23</v>
      </c>
      <c r="R37" s="16"/>
    </row>
    <row r="38" spans="1:19" x14ac:dyDescent="0.2">
      <c r="A38" s="18">
        <f t="shared" si="0"/>
        <v>10036</v>
      </c>
      <c r="D38" s="10">
        <v>40423</v>
      </c>
      <c r="E38" s="11" t="s">
        <v>19</v>
      </c>
      <c r="F38" t="s">
        <v>33</v>
      </c>
      <c r="G38" t="s">
        <v>21</v>
      </c>
      <c r="I38" t="s">
        <v>22</v>
      </c>
      <c r="L38" s="20">
        <v>7109.26</v>
      </c>
      <c r="M38" s="13"/>
      <c r="N38" s="20" t="s">
        <v>32</v>
      </c>
      <c r="O38" s="20">
        <v>0</v>
      </c>
      <c r="P38" s="20"/>
      <c r="Q38" s="20" t="s">
        <v>23</v>
      </c>
      <c r="R38" s="16"/>
    </row>
    <row r="39" spans="1:19" x14ac:dyDescent="0.2">
      <c r="A39" s="18">
        <f t="shared" si="0"/>
        <v>10037</v>
      </c>
      <c r="D39" s="10">
        <v>40441</v>
      </c>
      <c r="E39" s="11" t="s">
        <v>19</v>
      </c>
      <c r="F39" t="s">
        <v>66</v>
      </c>
      <c r="G39" t="s">
        <v>28</v>
      </c>
      <c r="I39" t="s">
        <v>8</v>
      </c>
      <c r="J39" t="s">
        <v>52</v>
      </c>
      <c r="L39" s="20">
        <v>607.57000000000005</v>
      </c>
      <c r="M39" s="20"/>
      <c r="N39" s="20" t="s">
        <v>65</v>
      </c>
      <c r="O39" s="20">
        <v>-99.57</v>
      </c>
      <c r="P39" s="20"/>
      <c r="Q39" s="20" t="s">
        <v>30</v>
      </c>
      <c r="R39" s="16">
        <v>417.6</v>
      </c>
      <c r="S39" s="21">
        <v>40471</v>
      </c>
    </row>
    <row r="40" spans="1:19" x14ac:dyDescent="0.2">
      <c r="A40" s="18">
        <f>A39+1</f>
        <v>10038</v>
      </c>
      <c r="D40" s="10">
        <v>40451</v>
      </c>
      <c r="E40" s="11" t="s">
        <v>19</v>
      </c>
      <c r="F40" t="s">
        <v>62</v>
      </c>
      <c r="G40" t="s">
        <v>25</v>
      </c>
      <c r="I40" t="s">
        <v>8</v>
      </c>
      <c r="J40" t="s">
        <v>38</v>
      </c>
      <c r="L40" s="20">
        <v>4351</v>
      </c>
      <c r="M40" s="20"/>
      <c r="N40" s="20" t="s">
        <v>65</v>
      </c>
      <c r="O40" s="20">
        <f>689.06</f>
        <v>689.06</v>
      </c>
      <c r="P40" s="20"/>
      <c r="Q40" s="20" t="s">
        <v>23</v>
      </c>
      <c r="R40" s="16">
        <f>3515.6</f>
        <v>3515.6</v>
      </c>
      <c r="S40" s="21">
        <v>40479</v>
      </c>
    </row>
    <row r="41" spans="1:19" x14ac:dyDescent="0.2">
      <c r="D41" s="10"/>
      <c r="E41" s="11"/>
      <c r="L41" s="20"/>
      <c r="M41" s="20"/>
      <c r="N41" s="20"/>
      <c r="O41" s="20">
        <f>101.33</f>
        <v>101.33</v>
      </c>
      <c r="P41" s="20"/>
      <c r="Q41" s="20"/>
      <c r="R41" s="16">
        <f>517</f>
        <v>517</v>
      </c>
      <c r="S41" s="21">
        <v>40473</v>
      </c>
    </row>
    <row r="42" spans="1:19" x14ac:dyDescent="0.2">
      <c r="A42" s="18">
        <f>A40+1</f>
        <v>10039</v>
      </c>
      <c r="D42" s="10">
        <v>40453</v>
      </c>
      <c r="E42" s="11" t="s">
        <v>19</v>
      </c>
      <c r="F42" t="s">
        <v>61</v>
      </c>
      <c r="G42" t="s">
        <v>25</v>
      </c>
      <c r="I42" t="s">
        <v>31</v>
      </c>
      <c r="L42" s="20">
        <v>2000</v>
      </c>
      <c r="M42" s="20"/>
      <c r="N42" s="20" t="s">
        <v>65</v>
      </c>
      <c r="O42" s="20">
        <v>0</v>
      </c>
      <c r="P42" s="20"/>
      <c r="Q42" s="20" t="s">
        <v>23</v>
      </c>
      <c r="R42" s="16">
        <v>0</v>
      </c>
    </row>
    <row r="43" spans="1:19" x14ac:dyDescent="0.2">
      <c r="A43" s="18">
        <f t="shared" si="0"/>
        <v>10040</v>
      </c>
      <c r="D43" s="10">
        <v>40459</v>
      </c>
      <c r="E43" s="11" t="s">
        <v>19</v>
      </c>
      <c r="F43" t="s">
        <v>67</v>
      </c>
      <c r="G43" t="s">
        <v>28</v>
      </c>
      <c r="I43" t="s">
        <v>8</v>
      </c>
      <c r="J43" t="s">
        <v>52</v>
      </c>
      <c r="L43" s="20">
        <f>(2*773+2*282)*1.196</f>
        <v>2523.56</v>
      </c>
      <c r="M43" s="20"/>
      <c r="N43" s="20" t="s">
        <v>65</v>
      </c>
      <c r="O43" s="20">
        <f>-(2*773+2*282)*0.196</f>
        <v>-413.56</v>
      </c>
      <c r="P43" s="20"/>
      <c r="Q43" s="20" t="s">
        <v>30</v>
      </c>
      <c r="R43" s="16">
        <v>1477</v>
      </c>
      <c r="S43" s="21">
        <v>40490</v>
      </c>
    </row>
    <row r="44" spans="1:19" x14ac:dyDescent="0.2">
      <c r="A44" s="18">
        <f t="shared" si="0"/>
        <v>10041</v>
      </c>
      <c r="D44" s="10">
        <v>40462</v>
      </c>
      <c r="E44" s="11" t="s">
        <v>19</v>
      </c>
      <c r="F44" t="s">
        <v>68</v>
      </c>
      <c r="G44" t="s">
        <v>28</v>
      </c>
      <c r="I44" t="s">
        <v>8</v>
      </c>
      <c r="J44" t="s">
        <v>29</v>
      </c>
      <c r="L44" s="20">
        <v>1368</v>
      </c>
      <c r="M44" s="20"/>
      <c r="N44" s="20" t="s">
        <v>32</v>
      </c>
      <c r="O44" s="20">
        <v>0</v>
      </c>
      <c r="P44" s="20"/>
      <c r="Q44" s="20" t="s">
        <v>30</v>
      </c>
      <c r="R44" s="16">
        <v>893.18</v>
      </c>
      <c r="S44" s="21">
        <v>40489</v>
      </c>
    </row>
    <row r="45" spans="1:19" x14ac:dyDescent="0.2">
      <c r="A45" s="18">
        <f t="shared" ref="A45:A60" si="1">A44+1</f>
        <v>10042</v>
      </c>
      <c r="D45" s="10">
        <v>40463</v>
      </c>
      <c r="E45" s="11" t="s">
        <v>19</v>
      </c>
      <c r="F45" t="s">
        <v>33</v>
      </c>
      <c r="G45" t="s">
        <v>21</v>
      </c>
      <c r="I45" t="s">
        <v>22</v>
      </c>
      <c r="L45" s="20">
        <f>8876.8+198</f>
        <v>9074.7999999999993</v>
      </c>
      <c r="M45" s="20"/>
      <c r="N45" s="20" t="s">
        <v>32</v>
      </c>
      <c r="O45" s="20">
        <v>0</v>
      </c>
      <c r="P45" s="20"/>
      <c r="Q45" s="20" t="s">
        <v>56</v>
      </c>
      <c r="R45" s="16"/>
      <c r="S45" s="21"/>
    </row>
    <row r="46" spans="1:19" x14ac:dyDescent="0.2">
      <c r="A46" s="18">
        <f t="shared" si="1"/>
        <v>10043</v>
      </c>
      <c r="D46" s="10">
        <v>40469</v>
      </c>
      <c r="E46" s="11" t="s">
        <v>19</v>
      </c>
      <c r="F46" t="s">
        <v>69</v>
      </c>
      <c r="G46" t="s">
        <v>28</v>
      </c>
      <c r="I46" t="s">
        <v>8</v>
      </c>
      <c r="J46" t="s">
        <v>20</v>
      </c>
      <c r="L46" s="20">
        <v>887.43</v>
      </c>
      <c r="M46" s="20"/>
      <c r="N46" s="20" t="s">
        <v>32</v>
      </c>
      <c r="O46" s="20">
        <v>-145.43</v>
      </c>
      <c r="P46" s="20"/>
      <c r="Q46" s="20" t="s">
        <v>30</v>
      </c>
      <c r="R46" s="16">
        <f>420+16</f>
        <v>436</v>
      </c>
      <c r="S46" s="21">
        <v>40534</v>
      </c>
    </row>
    <row r="47" spans="1:19" x14ac:dyDescent="0.2">
      <c r="A47" s="18">
        <f t="shared" si="1"/>
        <v>10044</v>
      </c>
      <c r="D47" s="10">
        <v>40480</v>
      </c>
      <c r="E47" s="11" t="s">
        <v>19</v>
      </c>
      <c r="F47" t="s">
        <v>70</v>
      </c>
      <c r="G47" t="s">
        <v>71</v>
      </c>
      <c r="I47" t="s">
        <v>8</v>
      </c>
      <c r="J47" t="s">
        <v>49</v>
      </c>
      <c r="L47" s="20">
        <v>2615</v>
      </c>
      <c r="M47" s="20"/>
      <c r="N47" s="20" t="s">
        <v>32</v>
      </c>
      <c r="O47" s="20">
        <v>0</v>
      </c>
      <c r="P47" s="20"/>
      <c r="Q47" s="20" t="s">
        <v>30</v>
      </c>
      <c r="R47" s="16">
        <f>217000/110</f>
        <v>1972.7272727272727</v>
      </c>
      <c r="S47" s="21">
        <v>40511</v>
      </c>
    </row>
    <row r="48" spans="1:19" x14ac:dyDescent="0.2">
      <c r="A48" s="18">
        <f t="shared" si="1"/>
        <v>10045</v>
      </c>
      <c r="D48" s="10">
        <v>40484</v>
      </c>
      <c r="E48" s="11" t="s">
        <v>19</v>
      </c>
      <c r="F48" t="s">
        <v>61</v>
      </c>
      <c r="G48" t="s">
        <v>25</v>
      </c>
      <c r="I48" t="s">
        <v>31</v>
      </c>
      <c r="L48" s="20">
        <v>2000</v>
      </c>
      <c r="M48" s="20"/>
      <c r="N48" s="20" t="s">
        <v>65</v>
      </c>
      <c r="O48" s="20">
        <v>0</v>
      </c>
      <c r="P48" s="20"/>
      <c r="Q48" s="20" t="s">
        <v>23</v>
      </c>
      <c r="R48" s="16"/>
      <c r="S48" s="23"/>
    </row>
    <row r="49" spans="1:19" x14ac:dyDescent="0.2">
      <c r="A49" s="18">
        <f t="shared" si="1"/>
        <v>10046</v>
      </c>
      <c r="D49" s="10">
        <v>40487</v>
      </c>
      <c r="E49" s="11" t="s">
        <v>19</v>
      </c>
      <c r="F49" t="s">
        <v>72</v>
      </c>
      <c r="G49" t="s">
        <v>73</v>
      </c>
      <c r="I49" t="s">
        <v>8</v>
      </c>
      <c r="J49" t="s">
        <v>74</v>
      </c>
      <c r="L49" s="20">
        <v>1980</v>
      </c>
      <c r="M49" s="20"/>
      <c r="N49" s="20" t="s">
        <v>32</v>
      </c>
      <c r="O49" s="20">
        <v>0</v>
      </c>
      <c r="P49" s="20"/>
      <c r="Q49" s="20" t="s">
        <v>30</v>
      </c>
      <c r="R49" s="16">
        <v>1188</v>
      </c>
      <c r="S49" s="21" t="s">
        <v>75</v>
      </c>
    </row>
    <row r="50" spans="1:19" x14ac:dyDescent="0.2">
      <c r="A50" s="18">
        <f t="shared" si="1"/>
        <v>10047</v>
      </c>
      <c r="D50" s="10">
        <v>40488</v>
      </c>
      <c r="E50" s="11" t="s">
        <v>19</v>
      </c>
      <c r="F50" t="s">
        <v>33</v>
      </c>
      <c r="G50" t="s">
        <v>21</v>
      </c>
      <c r="I50" t="s">
        <v>22</v>
      </c>
      <c r="L50" s="20">
        <v>2261.52</v>
      </c>
      <c r="M50" s="20"/>
      <c r="N50" s="20" t="s">
        <v>65</v>
      </c>
      <c r="O50" s="15">
        <v>0</v>
      </c>
      <c r="P50" s="13"/>
      <c r="Q50" s="20" t="s">
        <v>23</v>
      </c>
      <c r="R50" s="17"/>
      <c r="S50" s="21"/>
    </row>
    <row r="51" spans="1:19" x14ac:dyDescent="0.2">
      <c r="A51" s="18">
        <f t="shared" si="1"/>
        <v>10048</v>
      </c>
      <c r="B51" s="2">
        <v>10057212</v>
      </c>
      <c r="D51" s="10">
        <v>40465</v>
      </c>
      <c r="E51" s="11" t="s">
        <v>19</v>
      </c>
      <c r="F51" t="s">
        <v>76</v>
      </c>
      <c r="G51" t="s">
        <v>28</v>
      </c>
      <c r="I51" t="s">
        <v>8</v>
      </c>
      <c r="J51" t="s">
        <v>52</v>
      </c>
      <c r="L51" s="15">
        <v>432.95</v>
      </c>
      <c r="M51" s="13"/>
      <c r="N51" s="14">
        <v>40536</v>
      </c>
      <c r="O51" s="15">
        <v>-70.95</v>
      </c>
      <c r="P51" s="13"/>
      <c r="Q51" s="20" t="s">
        <v>30</v>
      </c>
      <c r="R51" s="16">
        <f>227.5+31.45</f>
        <v>258.95</v>
      </c>
      <c r="S51" s="21">
        <v>40522</v>
      </c>
    </row>
    <row r="52" spans="1:19" x14ac:dyDescent="0.2">
      <c r="A52" s="18">
        <f t="shared" si="1"/>
        <v>10049</v>
      </c>
      <c r="B52" s="2">
        <v>10058331</v>
      </c>
      <c r="D52" s="10">
        <v>40497</v>
      </c>
      <c r="E52" s="11" t="s">
        <v>19</v>
      </c>
      <c r="F52" t="s">
        <v>76</v>
      </c>
      <c r="G52" t="s">
        <v>28</v>
      </c>
      <c r="I52" t="s">
        <v>8</v>
      </c>
      <c r="J52" t="s">
        <v>52</v>
      </c>
      <c r="L52" s="15">
        <v>419.8</v>
      </c>
      <c r="M52" s="13"/>
      <c r="N52" s="14">
        <v>40572</v>
      </c>
      <c r="O52" s="15">
        <v>-68.599999999999994</v>
      </c>
      <c r="P52" s="13"/>
      <c r="Q52" s="20" t="s">
        <v>30</v>
      </c>
      <c r="R52" s="16">
        <f>227.5+22.1</f>
        <v>249.6</v>
      </c>
      <c r="S52" s="21">
        <v>40537</v>
      </c>
    </row>
    <row r="53" spans="1:19" x14ac:dyDescent="0.2">
      <c r="A53" s="18">
        <f t="shared" si="1"/>
        <v>10050</v>
      </c>
      <c r="D53" s="10">
        <v>40512</v>
      </c>
      <c r="E53" s="11" t="s">
        <v>19</v>
      </c>
      <c r="F53" t="s">
        <v>33</v>
      </c>
      <c r="G53" t="s">
        <v>21</v>
      </c>
      <c r="I53" t="s">
        <v>34</v>
      </c>
      <c r="L53" s="15">
        <v>180</v>
      </c>
      <c r="M53" s="13"/>
      <c r="N53" s="14">
        <v>40536</v>
      </c>
      <c r="O53" s="15">
        <v>0</v>
      </c>
      <c r="P53" s="13"/>
      <c r="Q53" s="15" t="s">
        <v>30</v>
      </c>
      <c r="R53" s="16"/>
      <c r="S53" s="21"/>
    </row>
    <row r="54" spans="1:19" x14ac:dyDescent="0.2">
      <c r="A54" s="18">
        <f t="shared" si="1"/>
        <v>10051</v>
      </c>
      <c r="B54" s="2" t="s">
        <v>77</v>
      </c>
      <c r="D54" s="10">
        <v>40497</v>
      </c>
      <c r="E54" s="11" t="s">
        <v>19</v>
      </c>
      <c r="F54" t="s">
        <v>78</v>
      </c>
      <c r="G54" t="s">
        <v>79</v>
      </c>
      <c r="I54" t="s">
        <v>8</v>
      </c>
      <c r="J54" t="s">
        <v>52</v>
      </c>
      <c r="L54" s="20">
        <v>9571</v>
      </c>
      <c r="M54" s="20"/>
      <c r="N54" s="20" t="s">
        <v>65</v>
      </c>
      <c r="O54" s="20">
        <v>0</v>
      </c>
      <c r="P54" s="20"/>
      <c r="Q54" s="20" t="s">
        <v>30</v>
      </c>
      <c r="R54" s="16">
        <v>5694.74</v>
      </c>
      <c r="S54" s="21">
        <v>40542</v>
      </c>
    </row>
    <row r="55" spans="1:19" x14ac:dyDescent="0.2">
      <c r="A55" s="18">
        <f t="shared" si="1"/>
        <v>10052</v>
      </c>
      <c r="B55" s="2" t="s">
        <v>80</v>
      </c>
      <c r="D55" s="10">
        <v>40499</v>
      </c>
      <c r="E55" s="11" t="s">
        <v>19</v>
      </c>
      <c r="F55" t="s">
        <v>81</v>
      </c>
      <c r="G55" t="s">
        <v>28</v>
      </c>
      <c r="I55" t="s">
        <v>8</v>
      </c>
      <c r="J55" t="s">
        <v>20</v>
      </c>
      <c r="L55" s="20">
        <v>592.02</v>
      </c>
      <c r="M55" s="20"/>
      <c r="N55" s="21">
        <v>40533</v>
      </c>
      <c r="O55" s="20">
        <v>-97.02</v>
      </c>
      <c r="P55" s="20"/>
      <c r="Q55" s="20" t="s">
        <v>30</v>
      </c>
      <c r="R55" s="16">
        <v>321</v>
      </c>
      <c r="S55" s="21">
        <v>40534</v>
      </c>
    </row>
    <row r="56" spans="1:19" x14ac:dyDescent="0.2">
      <c r="A56" s="18">
        <f t="shared" si="1"/>
        <v>10053</v>
      </c>
      <c r="D56" s="10">
        <v>40516</v>
      </c>
      <c r="E56" s="11" t="s">
        <v>19</v>
      </c>
      <c r="F56" t="s">
        <v>61</v>
      </c>
      <c r="G56" t="s">
        <v>25</v>
      </c>
      <c r="I56" t="s">
        <v>31</v>
      </c>
      <c r="L56" s="20">
        <v>2000</v>
      </c>
      <c r="M56" s="13"/>
      <c r="N56" s="20" t="s">
        <v>32</v>
      </c>
      <c r="O56" s="20">
        <v>0</v>
      </c>
      <c r="P56" s="20"/>
      <c r="Q56" s="20" t="s">
        <v>23</v>
      </c>
      <c r="R56" s="16"/>
      <c r="S56" s="21"/>
    </row>
    <row r="57" spans="1:19" x14ac:dyDescent="0.2">
      <c r="A57" s="18">
        <f t="shared" si="1"/>
        <v>10054</v>
      </c>
      <c r="D57" s="10">
        <v>40519</v>
      </c>
      <c r="E57" s="11" t="s">
        <v>19</v>
      </c>
      <c r="F57" t="s">
        <v>33</v>
      </c>
      <c r="G57" t="s">
        <v>21</v>
      </c>
      <c r="I57" t="s">
        <v>22</v>
      </c>
      <c r="L57" s="15">
        <f>4580.81</f>
        <v>4580.8100000000004</v>
      </c>
      <c r="M57" s="13"/>
      <c r="N57" s="14">
        <v>40536</v>
      </c>
      <c r="O57" s="15">
        <v>0</v>
      </c>
      <c r="P57" s="13"/>
      <c r="Q57" s="15" t="s">
        <v>23</v>
      </c>
      <c r="R57" s="16"/>
      <c r="S57" s="21"/>
    </row>
    <row r="58" spans="1:19" x14ac:dyDescent="0.2">
      <c r="A58" s="18">
        <f t="shared" si="1"/>
        <v>10055</v>
      </c>
      <c r="D58" s="10">
        <v>40520</v>
      </c>
      <c r="E58" s="11" t="s">
        <v>19</v>
      </c>
      <c r="F58" t="s">
        <v>82</v>
      </c>
      <c r="G58" t="s">
        <v>28</v>
      </c>
      <c r="I58" t="s">
        <v>8</v>
      </c>
      <c r="J58" t="s">
        <v>52</v>
      </c>
      <c r="L58" s="20">
        <v>1236.6600000000001</v>
      </c>
      <c r="M58" s="13"/>
      <c r="N58" s="21">
        <v>40535</v>
      </c>
      <c r="O58" s="20">
        <v>202.66</v>
      </c>
      <c r="P58" s="13"/>
      <c r="Q58" s="20" t="s">
        <v>30</v>
      </c>
      <c r="R58" s="16">
        <f>476+329.8</f>
        <v>805.8</v>
      </c>
      <c r="S58" s="21">
        <v>40184</v>
      </c>
    </row>
    <row r="59" spans="1:19" x14ac:dyDescent="0.2">
      <c r="A59" s="18">
        <f t="shared" si="1"/>
        <v>10056</v>
      </c>
      <c r="D59" s="10"/>
      <c r="E59" s="11"/>
      <c r="L59" s="13"/>
      <c r="M59" s="13"/>
      <c r="N59" s="13"/>
      <c r="O59" s="13"/>
      <c r="P59" s="13"/>
      <c r="Q59" s="13"/>
      <c r="R59" s="20"/>
      <c r="S59" s="21"/>
    </row>
    <row r="60" spans="1:19" x14ac:dyDescent="0.2">
      <c r="A60" s="18">
        <f t="shared" si="1"/>
        <v>10057</v>
      </c>
    </row>
    <row r="61" spans="1:19" x14ac:dyDescent="0.2">
      <c r="A61" s="18"/>
    </row>
    <row r="63" spans="1:19" x14ac:dyDescent="0.2">
      <c r="L63" s="45">
        <f>SUBTOTAL(9,L3:L58)</f>
        <v>194814.29999999996</v>
      </c>
      <c r="M63" s="45"/>
      <c r="N63" s="45"/>
      <c r="O63" s="45">
        <f>SUBTOTAL(9,O3:O58)</f>
        <v>11001.905999999997</v>
      </c>
      <c r="P63" s="45"/>
      <c r="Q63" s="45"/>
      <c r="R63" s="45">
        <f>SUBTOTAL(9,R3:R58)</f>
        <v>88550.516666666692</v>
      </c>
    </row>
    <row r="64" spans="1:19" x14ac:dyDescent="0.2">
      <c r="R64" s="24">
        <f>L63-R63</f>
        <v>106263.78333333327</v>
      </c>
    </row>
    <row r="65" spans="12:18" x14ac:dyDescent="0.2">
      <c r="R65" s="25">
        <f>R64/L63</f>
        <v>0.54546192622067935</v>
      </c>
    </row>
    <row r="66" spans="12:18" x14ac:dyDescent="0.2">
      <c r="L66" s="18"/>
      <c r="O66" s="18"/>
    </row>
    <row r="68" spans="12:18" x14ac:dyDescent="0.2">
      <c r="R68" s="26"/>
    </row>
  </sheetData>
  <sheetProtection selectLockedCells="1" selectUnlockedCells="1"/>
  <autoFilter ref="A2:T64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83"/>
  <sheetViews>
    <sheetView tabSelected="1" workbookViewId="0">
      <pane ySplit="1275" activePane="bottomLeft"/>
      <selection activeCell="A16" sqref="A16"/>
      <selection pane="bottomLeft" activeCell="H90" sqref="H90"/>
    </sheetView>
  </sheetViews>
  <sheetFormatPr baseColWidth="10" defaultRowHeight="12.75" x14ac:dyDescent="0.2"/>
  <cols>
    <col min="1" max="1" width="10.85546875" customWidth="1"/>
    <col min="2" max="2" width="3.28515625" customWidth="1"/>
    <col min="3" max="3" width="3.5703125" customWidth="1"/>
    <col min="5" max="5" width="7.85546875" customWidth="1"/>
    <col min="6" max="6" width="18" customWidth="1"/>
    <col min="7" max="7" width="6.42578125" customWidth="1"/>
    <col min="8" max="8" width="7.140625" customWidth="1"/>
    <col min="9" max="9" width="16.85546875" customWidth="1"/>
    <col min="10" max="10" width="8.42578125" customWidth="1"/>
    <col min="11" max="11" width="6.140625" customWidth="1"/>
    <col min="12" max="12" width="13.7109375" style="1" customWidth="1"/>
    <col min="13" max="13" width="8.7109375" customWidth="1"/>
    <col min="14" max="14" width="14.85546875" customWidth="1"/>
    <col min="15" max="15" width="10.7109375" customWidth="1"/>
    <col min="16" max="17" width="9.28515625" customWidth="1"/>
    <col min="18" max="18" width="11.140625" customWidth="1"/>
  </cols>
  <sheetData>
    <row r="1" spans="1:19" x14ac:dyDescent="0.2">
      <c r="B1" s="2"/>
    </row>
    <row r="2" spans="1:19" s="9" customFormat="1" ht="38.25" customHeight="1" x14ac:dyDescent="0.2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6" t="s">
        <v>106</v>
      </c>
      <c r="M2" s="7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8" t="s">
        <v>17</v>
      </c>
      <c r="S2" s="3" t="s">
        <v>18</v>
      </c>
    </row>
    <row r="3" spans="1:19" x14ac:dyDescent="0.2">
      <c r="A3">
        <v>11001</v>
      </c>
      <c r="B3" s="2"/>
      <c r="D3" s="10">
        <v>40189</v>
      </c>
      <c r="E3" s="11" t="s">
        <v>19</v>
      </c>
      <c r="F3" t="s">
        <v>20</v>
      </c>
      <c r="G3" t="s">
        <v>21</v>
      </c>
      <c r="I3" t="s">
        <v>22</v>
      </c>
      <c r="L3" s="12">
        <v>49513.96</v>
      </c>
      <c r="M3" s="13"/>
      <c r="N3" s="14" t="s">
        <v>125</v>
      </c>
      <c r="O3" s="1"/>
      <c r="P3" s="13"/>
      <c r="Q3" s="15" t="s">
        <v>23</v>
      </c>
      <c r="R3" s="16"/>
    </row>
    <row r="4" spans="1:19" hidden="1" x14ac:dyDescent="0.2">
      <c r="A4">
        <v>11002</v>
      </c>
      <c r="D4" s="10">
        <v>40555</v>
      </c>
      <c r="E4" s="11" t="s">
        <v>19</v>
      </c>
      <c r="F4" t="s">
        <v>24</v>
      </c>
      <c r="G4" t="s">
        <v>25</v>
      </c>
      <c r="I4" t="s">
        <v>26</v>
      </c>
      <c r="L4" s="12">
        <v>2000</v>
      </c>
      <c r="M4" s="13"/>
      <c r="N4" s="14">
        <v>40561</v>
      </c>
      <c r="O4" s="1">
        <v>0</v>
      </c>
      <c r="P4" s="13"/>
      <c r="Q4" s="15" t="s">
        <v>23</v>
      </c>
      <c r="R4" s="1">
        <v>0</v>
      </c>
    </row>
    <row r="5" spans="1:19" hidden="1" x14ac:dyDescent="0.2">
      <c r="A5">
        <v>11003</v>
      </c>
      <c r="D5" s="10">
        <v>40567</v>
      </c>
      <c r="E5" s="11" t="s">
        <v>19</v>
      </c>
      <c r="F5" t="s">
        <v>27</v>
      </c>
      <c r="G5" t="s">
        <v>28</v>
      </c>
      <c r="I5" t="s">
        <v>8</v>
      </c>
      <c r="J5" t="s">
        <v>29</v>
      </c>
      <c r="L5" s="33">
        <f>663</f>
        <v>663</v>
      </c>
      <c r="M5" s="34"/>
      <c r="N5" s="36">
        <v>40662</v>
      </c>
      <c r="O5" s="33">
        <f>L5*0.196</f>
        <v>129.94800000000001</v>
      </c>
      <c r="Q5" t="s">
        <v>30</v>
      </c>
      <c r="R5" s="12">
        <v>357.9</v>
      </c>
      <c r="S5" s="31">
        <v>40594</v>
      </c>
    </row>
    <row r="6" spans="1:19" hidden="1" x14ac:dyDescent="0.2">
      <c r="A6">
        <v>11004</v>
      </c>
      <c r="D6" s="10">
        <v>40575</v>
      </c>
      <c r="E6" s="11" t="s">
        <v>19</v>
      </c>
      <c r="F6" t="s">
        <v>29</v>
      </c>
      <c r="G6" t="s">
        <v>25</v>
      </c>
      <c r="I6" t="s">
        <v>26</v>
      </c>
      <c r="L6" s="12">
        <v>1500</v>
      </c>
      <c r="M6" s="13"/>
      <c r="N6" s="15" t="s">
        <v>85</v>
      </c>
      <c r="O6" s="12"/>
      <c r="P6" s="13"/>
      <c r="Q6" s="15" t="s">
        <v>56</v>
      </c>
    </row>
    <row r="7" spans="1:19" hidden="1" x14ac:dyDescent="0.2">
      <c r="A7">
        <f>A6+1</f>
        <v>11005</v>
      </c>
      <c r="D7" s="10">
        <v>40578</v>
      </c>
      <c r="E7" s="11" t="s">
        <v>19</v>
      </c>
      <c r="F7" t="s">
        <v>86</v>
      </c>
      <c r="G7" t="s">
        <v>25</v>
      </c>
      <c r="I7" t="s">
        <v>87</v>
      </c>
      <c r="L7" s="33">
        <v>3224.5</v>
      </c>
      <c r="M7" s="34"/>
      <c r="N7" s="34" t="s">
        <v>88</v>
      </c>
      <c r="O7" s="35">
        <v>0</v>
      </c>
      <c r="P7" s="13"/>
      <c r="Q7" s="34" t="s">
        <v>30</v>
      </c>
      <c r="R7" s="13"/>
    </row>
    <row r="8" spans="1:19" x14ac:dyDescent="0.2">
      <c r="A8">
        <f>A7+1</f>
        <v>11006</v>
      </c>
      <c r="D8" s="10">
        <v>40581</v>
      </c>
      <c r="E8" s="11" t="s">
        <v>19</v>
      </c>
      <c r="F8" t="s">
        <v>20</v>
      </c>
      <c r="G8" t="s">
        <v>21</v>
      </c>
      <c r="I8" t="s">
        <v>22</v>
      </c>
      <c r="L8" s="12">
        <v>4557.37</v>
      </c>
      <c r="M8" s="15"/>
      <c r="N8" s="15" t="s">
        <v>88</v>
      </c>
      <c r="O8" s="32"/>
      <c r="P8" s="15"/>
      <c r="Q8" s="15" t="s">
        <v>56</v>
      </c>
    </row>
    <row r="9" spans="1:19" hidden="1" x14ac:dyDescent="0.2">
      <c r="A9">
        <f>A8+1</f>
        <v>11007</v>
      </c>
      <c r="D9" s="10">
        <v>40591</v>
      </c>
      <c r="E9" s="11" t="s">
        <v>19</v>
      </c>
      <c r="F9" t="s">
        <v>89</v>
      </c>
      <c r="G9" t="s">
        <v>28</v>
      </c>
      <c r="I9" t="s">
        <v>8</v>
      </c>
      <c r="J9" t="s">
        <v>29</v>
      </c>
      <c r="L9" s="33">
        <f>173</f>
        <v>173</v>
      </c>
      <c r="M9" s="34"/>
      <c r="N9" s="36" t="s">
        <v>95</v>
      </c>
      <c r="O9" s="35">
        <f>L9*0.196</f>
        <v>33.908000000000001</v>
      </c>
      <c r="P9" s="13"/>
      <c r="Q9" s="34" t="s">
        <v>30</v>
      </c>
      <c r="R9" s="35">
        <v>142.66</v>
      </c>
      <c r="S9" s="36">
        <v>40631</v>
      </c>
    </row>
    <row r="10" spans="1:19" hidden="1" x14ac:dyDescent="0.2">
      <c r="A10">
        <f>A9+1</f>
        <v>11008</v>
      </c>
      <c r="D10" s="10">
        <v>40603</v>
      </c>
      <c r="E10" s="11" t="s">
        <v>19</v>
      </c>
      <c r="F10" t="s">
        <v>29</v>
      </c>
      <c r="G10" t="s">
        <v>25</v>
      </c>
      <c r="I10" t="s">
        <v>26</v>
      </c>
      <c r="L10" s="33">
        <v>1500</v>
      </c>
      <c r="M10" s="34"/>
      <c r="N10" s="34" t="s">
        <v>85</v>
      </c>
      <c r="O10" s="30"/>
      <c r="P10" s="13"/>
      <c r="Q10" s="34" t="s">
        <v>23</v>
      </c>
    </row>
    <row r="11" spans="1:19" hidden="1" x14ac:dyDescent="0.2">
      <c r="A11" t="s">
        <v>94</v>
      </c>
      <c r="D11" s="10">
        <v>40609</v>
      </c>
      <c r="E11" s="11" t="s">
        <v>19</v>
      </c>
      <c r="F11" t="s">
        <v>90</v>
      </c>
      <c r="G11" t="s">
        <v>28</v>
      </c>
      <c r="I11" t="s">
        <v>8</v>
      </c>
      <c r="J11" t="s">
        <v>52</v>
      </c>
      <c r="L11" s="33">
        <v>422</v>
      </c>
      <c r="M11" s="34"/>
      <c r="N11" s="34" t="s">
        <v>91</v>
      </c>
      <c r="O11" s="35">
        <f>L11*0.196</f>
        <v>82.712000000000003</v>
      </c>
      <c r="P11" s="34"/>
      <c r="Q11" s="34" t="s">
        <v>30</v>
      </c>
      <c r="R11" s="37">
        <v>280</v>
      </c>
      <c r="S11" s="36">
        <v>40691</v>
      </c>
    </row>
    <row r="12" spans="1:19" x14ac:dyDescent="0.2">
      <c r="A12" t="s">
        <v>93</v>
      </c>
      <c r="D12" s="10">
        <v>40612</v>
      </c>
      <c r="E12" s="11" t="s">
        <v>19</v>
      </c>
      <c r="F12" t="s">
        <v>20</v>
      </c>
      <c r="G12" t="s">
        <v>21</v>
      </c>
      <c r="I12" t="s">
        <v>22</v>
      </c>
      <c r="L12" s="33">
        <v>4728.9399999999996</v>
      </c>
      <c r="M12" s="34"/>
      <c r="N12" s="34" t="s">
        <v>92</v>
      </c>
      <c r="O12" s="35"/>
      <c r="P12" s="34"/>
      <c r="Q12" s="34" t="s">
        <v>23</v>
      </c>
    </row>
    <row r="13" spans="1:19" hidden="1" x14ac:dyDescent="0.2">
      <c r="A13" t="s">
        <v>101</v>
      </c>
      <c r="D13" s="10">
        <v>40634</v>
      </c>
      <c r="E13" s="11" t="s">
        <v>19</v>
      </c>
      <c r="F13" t="s">
        <v>29</v>
      </c>
      <c r="G13" t="s">
        <v>25</v>
      </c>
      <c r="I13" t="s">
        <v>26</v>
      </c>
      <c r="L13" s="33">
        <v>1500</v>
      </c>
      <c r="M13" s="34"/>
      <c r="N13" s="34" t="s">
        <v>85</v>
      </c>
      <c r="O13" s="35"/>
      <c r="P13" s="34"/>
      <c r="Q13" s="34" t="s">
        <v>23</v>
      </c>
    </row>
    <row r="14" spans="1:19" hidden="1" x14ac:dyDescent="0.2">
      <c r="A14" t="s">
        <v>102</v>
      </c>
      <c r="D14" s="10">
        <v>40639</v>
      </c>
      <c r="E14" s="11" t="s">
        <v>19</v>
      </c>
      <c r="F14" t="s">
        <v>86</v>
      </c>
      <c r="G14" t="s">
        <v>25</v>
      </c>
      <c r="I14" t="s">
        <v>87</v>
      </c>
      <c r="L14" s="33">
        <v>1306.25</v>
      </c>
      <c r="M14" s="34"/>
      <c r="N14" s="34" t="s">
        <v>85</v>
      </c>
      <c r="O14" s="35"/>
      <c r="P14" s="34"/>
      <c r="Q14" s="34" t="s">
        <v>30</v>
      </c>
    </row>
    <row r="15" spans="1:19" hidden="1" x14ac:dyDescent="0.2">
      <c r="A15" t="s">
        <v>103</v>
      </c>
      <c r="D15" s="10">
        <v>40639</v>
      </c>
      <c r="E15" s="11" t="s">
        <v>19</v>
      </c>
      <c r="F15" t="s">
        <v>29</v>
      </c>
      <c r="G15" t="s">
        <v>25</v>
      </c>
      <c r="I15" t="s">
        <v>26</v>
      </c>
      <c r="L15" s="33">
        <v>349.8</v>
      </c>
      <c r="M15" s="34"/>
      <c r="N15" s="34" t="s">
        <v>91</v>
      </c>
      <c r="O15" s="30"/>
      <c r="P15" s="13"/>
      <c r="Q15" s="34" t="s">
        <v>23</v>
      </c>
    </row>
    <row r="16" spans="1:19" hidden="1" x14ac:dyDescent="0.2">
      <c r="A16" t="s">
        <v>96</v>
      </c>
      <c r="D16" s="10">
        <v>40641</v>
      </c>
      <c r="E16" s="11" t="s">
        <v>19</v>
      </c>
      <c r="F16" t="s">
        <v>27</v>
      </c>
      <c r="G16" t="s">
        <v>28</v>
      </c>
      <c r="I16" t="s">
        <v>8</v>
      </c>
      <c r="J16" t="s">
        <v>29</v>
      </c>
      <c r="L16" s="33">
        <v>607</v>
      </c>
      <c r="M16" s="34"/>
      <c r="N16" s="34" t="s">
        <v>100</v>
      </c>
      <c r="O16" s="35">
        <f>0.196*L16</f>
        <v>118.97200000000001</v>
      </c>
      <c r="P16" s="13"/>
      <c r="Q16" s="34" t="s">
        <v>30</v>
      </c>
      <c r="R16" s="35">
        <f>424.45-12.14</f>
        <v>412.31</v>
      </c>
      <c r="S16" s="36">
        <v>40661</v>
      </c>
    </row>
    <row r="17" spans="1:20" hidden="1" x14ac:dyDescent="0.2">
      <c r="A17" t="s">
        <v>97</v>
      </c>
      <c r="D17" s="10">
        <v>40641</v>
      </c>
      <c r="E17" s="11" t="s">
        <v>19</v>
      </c>
      <c r="F17" t="s">
        <v>104</v>
      </c>
      <c r="G17" t="s">
        <v>28</v>
      </c>
      <c r="I17" t="s">
        <v>8</v>
      </c>
      <c r="J17" t="s">
        <v>52</v>
      </c>
      <c r="L17" s="33">
        <v>3480</v>
      </c>
      <c r="M17" s="34"/>
      <c r="N17" s="36">
        <v>40780</v>
      </c>
      <c r="O17" s="35">
        <f>0.196*L17</f>
        <v>682.08</v>
      </c>
      <c r="P17" s="13"/>
      <c r="Q17" s="34" t="s">
        <v>30</v>
      </c>
      <c r="R17" s="35">
        <f>1680+844.9</f>
        <v>2524.9</v>
      </c>
      <c r="S17" s="36">
        <v>40668</v>
      </c>
    </row>
    <row r="18" spans="1:20" hidden="1" x14ac:dyDescent="0.2">
      <c r="A18" t="s">
        <v>98</v>
      </c>
      <c r="D18" s="10">
        <v>40642</v>
      </c>
      <c r="E18" s="11" t="s">
        <v>19</v>
      </c>
      <c r="F18" t="s">
        <v>105</v>
      </c>
      <c r="G18" t="s">
        <v>28</v>
      </c>
      <c r="I18" t="s">
        <v>8</v>
      </c>
      <c r="J18" t="s">
        <v>52</v>
      </c>
      <c r="L18" s="33">
        <v>1200</v>
      </c>
      <c r="M18" s="34"/>
      <c r="N18" s="36">
        <v>40662</v>
      </c>
      <c r="O18" s="35">
        <f>0.196*L18</f>
        <v>235.20000000000002</v>
      </c>
      <c r="P18" s="34"/>
      <c r="Q18" s="34" t="s">
        <v>30</v>
      </c>
      <c r="R18" s="37">
        <f>L18*0.7</f>
        <v>840</v>
      </c>
      <c r="S18" s="36">
        <v>40691</v>
      </c>
    </row>
    <row r="19" spans="1:20" x14ac:dyDescent="0.2">
      <c r="A19" t="s">
        <v>99</v>
      </c>
      <c r="D19" s="10">
        <v>40644</v>
      </c>
      <c r="E19" s="11" t="s">
        <v>19</v>
      </c>
      <c r="F19" t="s">
        <v>20</v>
      </c>
      <c r="G19" t="s">
        <v>21</v>
      </c>
      <c r="I19" t="s">
        <v>22</v>
      </c>
      <c r="L19" s="33">
        <f>9106.55+2234.69</f>
        <v>11341.24</v>
      </c>
      <c r="M19" s="34"/>
      <c r="N19" s="36">
        <v>40632</v>
      </c>
      <c r="O19" s="35"/>
      <c r="P19" s="34"/>
      <c r="Q19" s="34" t="s">
        <v>23</v>
      </c>
      <c r="R19" s="13"/>
      <c r="S19" s="13"/>
    </row>
    <row r="20" spans="1:20" hidden="1" x14ac:dyDescent="0.2">
      <c r="A20" t="s">
        <v>107</v>
      </c>
      <c r="D20" s="10">
        <v>40648</v>
      </c>
      <c r="E20" s="11" t="s">
        <v>19</v>
      </c>
      <c r="F20" t="s">
        <v>20</v>
      </c>
      <c r="G20" t="s">
        <v>21</v>
      </c>
      <c r="I20" t="s">
        <v>109</v>
      </c>
      <c r="L20" s="33">
        <v>180</v>
      </c>
      <c r="M20" s="34"/>
      <c r="N20" s="36">
        <v>40632</v>
      </c>
      <c r="O20" s="35"/>
      <c r="P20" s="34"/>
      <c r="Q20" s="34" t="s">
        <v>30</v>
      </c>
    </row>
    <row r="21" spans="1:20" hidden="1" x14ac:dyDescent="0.2">
      <c r="A21" t="s">
        <v>108</v>
      </c>
      <c r="D21" s="10">
        <v>40655</v>
      </c>
      <c r="E21" s="11" t="s">
        <v>19</v>
      </c>
      <c r="F21" t="s">
        <v>110</v>
      </c>
      <c r="G21" t="s">
        <v>111</v>
      </c>
      <c r="I21" t="s">
        <v>8</v>
      </c>
      <c r="J21" t="s">
        <v>49</v>
      </c>
      <c r="L21" s="33">
        <v>6500</v>
      </c>
      <c r="M21" s="34"/>
      <c r="N21" s="34" t="s">
        <v>112</v>
      </c>
      <c r="O21" s="35"/>
      <c r="P21" s="34"/>
      <c r="Q21" s="34" t="s">
        <v>30</v>
      </c>
      <c r="R21" s="35">
        <f>(400000-40000)/110</f>
        <v>3272.7272727272725</v>
      </c>
      <c r="S21" s="36">
        <v>40769</v>
      </c>
    </row>
    <row r="22" spans="1:20" hidden="1" x14ac:dyDescent="0.2">
      <c r="A22" t="s">
        <v>114</v>
      </c>
      <c r="D22" s="10">
        <v>40665</v>
      </c>
      <c r="E22" s="11" t="s">
        <v>19</v>
      </c>
      <c r="F22" t="s">
        <v>29</v>
      </c>
      <c r="G22" t="s">
        <v>25</v>
      </c>
      <c r="I22" t="s">
        <v>26</v>
      </c>
      <c r="L22" s="33">
        <v>1500</v>
      </c>
      <c r="M22" s="34"/>
      <c r="N22" s="34" t="s">
        <v>85</v>
      </c>
      <c r="O22" s="35"/>
      <c r="P22" s="13"/>
      <c r="Q22" s="34" t="s">
        <v>23</v>
      </c>
      <c r="R22" s="13"/>
    </row>
    <row r="23" spans="1:20" x14ac:dyDescent="0.2">
      <c r="A23" t="s">
        <v>115</v>
      </c>
      <c r="D23" s="10">
        <v>40668</v>
      </c>
      <c r="E23" s="11" t="s">
        <v>19</v>
      </c>
      <c r="F23" t="s">
        <v>20</v>
      </c>
      <c r="G23" t="s">
        <v>21</v>
      </c>
      <c r="I23" t="s">
        <v>22</v>
      </c>
      <c r="L23" s="33">
        <v>13840.33</v>
      </c>
      <c r="M23" s="34"/>
      <c r="N23" s="36">
        <v>40693</v>
      </c>
      <c r="O23" s="29"/>
      <c r="Q23" s="34" t="s">
        <v>23</v>
      </c>
    </row>
    <row r="24" spans="1:20" hidden="1" x14ac:dyDescent="0.2">
      <c r="A24" t="s">
        <v>116</v>
      </c>
      <c r="D24" s="10">
        <v>40669</v>
      </c>
      <c r="E24" s="11" t="s">
        <v>19</v>
      </c>
      <c r="F24" t="s">
        <v>113</v>
      </c>
      <c r="G24" t="s">
        <v>28</v>
      </c>
      <c r="I24" t="s">
        <v>8</v>
      </c>
      <c r="J24" t="s">
        <v>52</v>
      </c>
      <c r="L24" s="33">
        <f>750+60</f>
        <v>810</v>
      </c>
      <c r="M24" s="34"/>
      <c r="N24" s="36">
        <v>40717</v>
      </c>
      <c r="O24" s="35">
        <f>0.196*L24</f>
        <v>158.76000000000002</v>
      </c>
      <c r="P24" s="34"/>
      <c r="Q24" s="34" t="s">
        <v>30</v>
      </c>
      <c r="R24" s="35">
        <f>525+51</f>
        <v>576</v>
      </c>
      <c r="S24" s="36">
        <v>40691</v>
      </c>
    </row>
    <row r="25" spans="1:20" hidden="1" x14ac:dyDescent="0.2">
      <c r="A25" t="s">
        <v>117</v>
      </c>
      <c r="D25" s="10">
        <v>40675</v>
      </c>
      <c r="E25" s="11" t="s">
        <v>19</v>
      </c>
      <c r="F25" t="s">
        <v>20</v>
      </c>
      <c r="G25" t="s">
        <v>21</v>
      </c>
      <c r="I25" t="s">
        <v>109</v>
      </c>
      <c r="L25" s="33">
        <v>379</v>
      </c>
      <c r="M25" s="34"/>
      <c r="N25" s="36">
        <v>40694</v>
      </c>
      <c r="O25" s="29"/>
      <c r="Q25" s="34" t="s">
        <v>30</v>
      </c>
    </row>
    <row r="26" spans="1:20" hidden="1" x14ac:dyDescent="0.2">
      <c r="A26" t="s">
        <v>118</v>
      </c>
      <c r="D26" s="10">
        <v>40689</v>
      </c>
      <c r="E26" s="11" t="s">
        <v>19</v>
      </c>
      <c r="F26" t="s">
        <v>119</v>
      </c>
      <c r="G26" t="s">
        <v>28</v>
      </c>
      <c r="I26" t="s">
        <v>8</v>
      </c>
      <c r="J26" t="s">
        <v>52</v>
      </c>
      <c r="L26" s="33">
        <v>3145</v>
      </c>
      <c r="M26" s="34"/>
      <c r="N26" s="36">
        <v>40720</v>
      </c>
      <c r="O26" s="35">
        <f>L26*0.196</f>
        <v>616.42000000000007</v>
      </c>
      <c r="P26" s="34"/>
      <c r="Q26" s="34" t="s">
        <v>30</v>
      </c>
      <c r="R26" s="35">
        <v>2201.5</v>
      </c>
      <c r="S26" s="36">
        <v>40718</v>
      </c>
    </row>
    <row r="27" spans="1:20" hidden="1" x14ac:dyDescent="0.2">
      <c r="A27" t="s">
        <v>120</v>
      </c>
      <c r="D27" s="10">
        <v>40690</v>
      </c>
      <c r="E27" s="11" t="s">
        <v>19</v>
      </c>
      <c r="F27" t="s">
        <v>63</v>
      </c>
      <c r="G27" t="s">
        <v>64</v>
      </c>
      <c r="I27" t="s">
        <v>8</v>
      </c>
      <c r="J27" t="s">
        <v>52</v>
      </c>
      <c r="L27" s="33">
        <v>10206</v>
      </c>
      <c r="M27" s="34"/>
      <c r="N27" s="36">
        <v>40767</v>
      </c>
      <c r="O27" s="30"/>
      <c r="P27" s="13"/>
      <c r="Q27" s="34" t="s">
        <v>30</v>
      </c>
      <c r="R27" s="35">
        <v>7472.85</v>
      </c>
      <c r="S27" s="36">
        <v>40721</v>
      </c>
      <c r="T27" t="s">
        <v>142</v>
      </c>
    </row>
    <row r="28" spans="1:20" hidden="1" x14ac:dyDescent="0.2">
      <c r="A28" t="s">
        <v>121</v>
      </c>
      <c r="D28" s="10">
        <v>40695</v>
      </c>
      <c r="E28" s="11" t="s">
        <v>19</v>
      </c>
      <c r="F28" t="s">
        <v>29</v>
      </c>
      <c r="G28" t="s">
        <v>25</v>
      </c>
      <c r="I28" t="s">
        <v>26</v>
      </c>
      <c r="L28" s="33">
        <v>1500</v>
      </c>
      <c r="M28" s="34"/>
      <c r="N28" s="34" t="s">
        <v>85</v>
      </c>
      <c r="O28" s="35"/>
      <c r="P28" s="34"/>
      <c r="Q28" s="34" t="s">
        <v>23</v>
      </c>
      <c r="R28" s="34"/>
      <c r="S28" s="34"/>
      <c r="T28" s="34"/>
    </row>
    <row r="29" spans="1:20" hidden="1" x14ac:dyDescent="0.2">
      <c r="A29" t="s">
        <v>122</v>
      </c>
      <c r="D29" s="10">
        <v>40695</v>
      </c>
      <c r="E29" s="11" t="s">
        <v>19</v>
      </c>
      <c r="F29" t="s">
        <v>123</v>
      </c>
      <c r="G29" t="s">
        <v>25</v>
      </c>
      <c r="I29" t="s">
        <v>8</v>
      </c>
      <c r="J29" t="s">
        <v>24</v>
      </c>
      <c r="L29" s="33">
        <v>832</v>
      </c>
      <c r="M29" s="34"/>
      <c r="N29" s="36">
        <v>40725</v>
      </c>
      <c r="O29" s="35">
        <f>L29*0.196</f>
        <v>163.072</v>
      </c>
      <c r="P29" s="34"/>
      <c r="Q29" s="34" t="s">
        <v>30</v>
      </c>
      <c r="R29" s="35">
        <v>555</v>
      </c>
      <c r="S29" s="36">
        <v>40756</v>
      </c>
      <c r="T29" t="s">
        <v>143</v>
      </c>
    </row>
    <row r="30" spans="1:20" x14ac:dyDescent="0.2">
      <c r="A30" t="s">
        <v>124</v>
      </c>
      <c r="D30" s="10">
        <v>40703</v>
      </c>
      <c r="E30" s="11" t="s">
        <v>19</v>
      </c>
      <c r="F30" t="s">
        <v>20</v>
      </c>
      <c r="G30" t="s">
        <v>21</v>
      </c>
      <c r="I30" t="s">
        <v>22</v>
      </c>
      <c r="L30" s="33">
        <v>9640.93</v>
      </c>
      <c r="M30" s="34"/>
      <c r="N30" s="36">
        <v>40724</v>
      </c>
      <c r="O30" s="35"/>
      <c r="P30" s="34"/>
      <c r="Q30" s="34" t="s">
        <v>56</v>
      </c>
      <c r="R30" s="13"/>
      <c r="S30" s="13"/>
    </row>
    <row r="31" spans="1:20" hidden="1" x14ac:dyDescent="0.2">
      <c r="A31" t="s">
        <v>126</v>
      </c>
      <c r="D31" s="10">
        <v>40727</v>
      </c>
      <c r="E31" s="11" t="s">
        <v>19</v>
      </c>
      <c r="F31" t="s">
        <v>29</v>
      </c>
      <c r="G31" t="s">
        <v>25</v>
      </c>
      <c r="I31" t="s">
        <v>26</v>
      </c>
      <c r="L31" s="33">
        <f>1500+277.67+188.24</f>
        <v>1965.91</v>
      </c>
      <c r="M31" s="34"/>
      <c r="N31" s="36">
        <v>40704</v>
      </c>
      <c r="O31" s="35"/>
      <c r="P31" s="34"/>
      <c r="Q31" s="34" t="s">
        <v>23</v>
      </c>
      <c r="R31" s="34"/>
      <c r="S31" s="34"/>
    </row>
    <row r="32" spans="1:20" hidden="1" x14ac:dyDescent="0.2">
      <c r="A32" t="s">
        <v>127</v>
      </c>
      <c r="D32" s="10">
        <v>40727</v>
      </c>
      <c r="E32" s="11" t="s">
        <v>19</v>
      </c>
      <c r="F32" t="s">
        <v>128</v>
      </c>
      <c r="G32" t="s">
        <v>28</v>
      </c>
      <c r="I32" t="s">
        <v>8</v>
      </c>
      <c r="J32" t="s">
        <v>52</v>
      </c>
      <c r="L32" s="33">
        <v>1017</v>
      </c>
      <c r="M32" s="34"/>
      <c r="N32" s="36">
        <v>40758</v>
      </c>
      <c r="O32" s="35">
        <v>199.33</v>
      </c>
      <c r="P32" s="13"/>
      <c r="Q32" s="34" t="s">
        <v>30</v>
      </c>
      <c r="R32" s="34">
        <f>677-46.46</f>
        <v>630.54</v>
      </c>
      <c r="S32" s="36">
        <v>40758</v>
      </c>
    </row>
    <row r="33" spans="1:20" x14ac:dyDescent="0.2">
      <c r="A33" t="s">
        <v>129</v>
      </c>
      <c r="D33" s="10">
        <v>40735</v>
      </c>
      <c r="E33" s="11" t="s">
        <v>19</v>
      </c>
      <c r="F33" t="s">
        <v>20</v>
      </c>
      <c r="G33" t="s">
        <v>21</v>
      </c>
      <c r="I33" t="s">
        <v>22</v>
      </c>
      <c r="L33" s="33">
        <v>9865.14</v>
      </c>
      <c r="M33" s="34"/>
      <c r="N33" s="36">
        <v>40753</v>
      </c>
      <c r="O33" s="35"/>
      <c r="P33" s="34"/>
      <c r="Q33" s="34" t="s">
        <v>56</v>
      </c>
      <c r="R33" s="34"/>
      <c r="S33" s="34"/>
    </row>
    <row r="34" spans="1:20" hidden="1" x14ac:dyDescent="0.2">
      <c r="A34" t="s">
        <v>130</v>
      </c>
      <c r="D34" s="10">
        <v>40739</v>
      </c>
      <c r="E34" s="11" t="s">
        <v>19</v>
      </c>
      <c r="F34" t="s">
        <v>131</v>
      </c>
      <c r="G34" t="s">
        <v>28</v>
      </c>
      <c r="I34" t="s">
        <v>8</v>
      </c>
      <c r="J34" t="s">
        <v>52</v>
      </c>
      <c r="L34" s="33">
        <v>720</v>
      </c>
      <c r="M34" s="34"/>
      <c r="N34" s="36">
        <v>40770</v>
      </c>
      <c r="O34" s="35">
        <f t="shared" ref="O34:O39" si="0">L34*0.196</f>
        <v>141.12</v>
      </c>
      <c r="P34" s="13"/>
      <c r="Q34" s="34" t="s">
        <v>30</v>
      </c>
      <c r="R34" s="34">
        <v>446.4</v>
      </c>
      <c r="S34" s="36">
        <v>40766</v>
      </c>
      <c r="T34" t="s">
        <v>154</v>
      </c>
    </row>
    <row r="35" spans="1:20" hidden="1" x14ac:dyDescent="0.2">
      <c r="A35" t="s">
        <v>132</v>
      </c>
      <c r="D35" s="10">
        <v>40742</v>
      </c>
      <c r="E35" s="11" t="s">
        <v>19</v>
      </c>
      <c r="F35" t="s">
        <v>133</v>
      </c>
      <c r="G35" t="s">
        <v>28</v>
      </c>
      <c r="I35" t="s">
        <v>8</v>
      </c>
      <c r="J35" t="s">
        <v>29</v>
      </c>
      <c r="L35" s="33">
        <f>6166+95</f>
        <v>6261</v>
      </c>
      <c r="M35" s="34"/>
      <c r="N35" s="36">
        <v>40788</v>
      </c>
      <c r="O35" s="35">
        <f t="shared" si="0"/>
        <v>1227.1559999999999</v>
      </c>
      <c r="P35" s="13"/>
      <c r="Q35" s="34" t="s">
        <v>30</v>
      </c>
      <c r="R35" s="34">
        <f>4007+95</f>
        <v>4102</v>
      </c>
      <c r="S35" s="36">
        <v>40766</v>
      </c>
      <c r="T35" t="s">
        <v>155</v>
      </c>
    </row>
    <row r="36" spans="1:20" hidden="1" x14ac:dyDescent="0.2">
      <c r="A36" t="s">
        <v>134</v>
      </c>
      <c r="D36" s="10">
        <v>40742</v>
      </c>
      <c r="E36" s="11" t="s">
        <v>19</v>
      </c>
      <c r="F36" t="s">
        <v>135</v>
      </c>
      <c r="G36" t="s">
        <v>28</v>
      </c>
      <c r="I36" t="s">
        <v>8</v>
      </c>
      <c r="J36" t="s">
        <v>20</v>
      </c>
      <c r="L36" s="33">
        <f>550+13</f>
        <v>563</v>
      </c>
      <c r="M36" s="13"/>
      <c r="N36" s="36">
        <v>40791</v>
      </c>
      <c r="O36" s="35">
        <f t="shared" si="0"/>
        <v>110.348</v>
      </c>
      <c r="P36" s="13"/>
      <c r="Q36" s="34" t="s">
        <v>30</v>
      </c>
      <c r="R36" s="34">
        <f>330+13</f>
        <v>343</v>
      </c>
      <c r="S36" s="36">
        <v>40769</v>
      </c>
      <c r="T36" t="s">
        <v>154</v>
      </c>
    </row>
    <row r="37" spans="1:20" hidden="1" x14ac:dyDescent="0.2">
      <c r="A37" t="s">
        <v>136</v>
      </c>
      <c r="D37" s="10">
        <v>40742</v>
      </c>
      <c r="E37" s="11" t="s">
        <v>19</v>
      </c>
      <c r="F37" t="s">
        <v>138</v>
      </c>
      <c r="G37" t="s">
        <v>28</v>
      </c>
      <c r="I37" t="s">
        <v>8</v>
      </c>
      <c r="J37" t="s">
        <v>52</v>
      </c>
      <c r="L37" s="33">
        <v>355</v>
      </c>
      <c r="M37" s="34"/>
      <c r="N37" s="36">
        <v>40773</v>
      </c>
      <c r="O37" s="35">
        <f t="shared" si="0"/>
        <v>69.58</v>
      </c>
      <c r="P37" s="34"/>
      <c r="Q37" s="34" t="s">
        <v>30</v>
      </c>
      <c r="R37" s="34">
        <v>225.5</v>
      </c>
      <c r="S37" s="36">
        <v>40770</v>
      </c>
    </row>
    <row r="38" spans="1:20" hidden="1" x14ac:dyDescent="0.2">
      <c r="A38" t="s">
        <v>137</v>
      </c>
      <c r="D38" s="10">
        <v>40742</v>
      </c>
      <c r="E38" s="11" t="s">
        <v>19</v>
      </c>
      <c r="F38" t="s">
        <v>139</v>
      </c>
      <c r="G38" t="s">
        <v>28</v>
      </c>
      <c r="I38" t="s">
        <v>8</v>
      </c>
      <c r="J38" t="s">
        <v>52</v>
      </c>
      <c r="L38" s="33">
        <v>2662</v>
      </c>
      <c r="M38" s="34"/>
      <c r="N38" s="36">
        <v>40804</v>
      </c>
      <c r="O38" s="35">
        <f t="shared" si="0"/>
        <v>521.75200000000007</v>
      </c>
      <c r="P38" s="13"/>
      <c r="Q38" s="34" t="s">
        <v>30</v>
      </c>
      <c r="R38" s="34">
        <v>1678.7</v>
      </c>
      <c r="S38" s="36">
        <v>40769</v>
      </c>
      <c r="T38" t="s">
        <v>158</v>
      </c>
    </row>
    <row r="39" spans="1:20" hidden="1" x14ac:dyDescent="0.2">
      <c r="A39" t="s">
        <v>140</v>
      </c>
      <c r="D39" s="10">
        <v>40746</v>
      </c>
      <c r="E39" s="11" t="s">
        <v>19</v>
      </c>
      <c r="F39" t="s">
        <v>141</v>
      </c>
      <c r="G39" t="s">
        <v>28</v>
      </c>
      <c r="I39" t="s">
        <v>8</v>
      </c>
      <c r="J39" t="s">
        <v>29</v>
      </c>
      <c r="L39" s="33">
        <f>263+22</f>
        <v>285</v>
      </c>
      <c r="M39" s="34"/>
      <c r="N39" s="36">
        <v>40777</v>
      </c>
      <c r="O39" s="35">
        <f t="shared" si="0"/>
        <v>55.86</v>
      </c>
      <c r="Q39" s="34" t="s">
        <v>30</v>
      </c>
      <c r="R39" s="34">
        <v>185.92</v>
      </c>
      <c r="S39" s="36">
        <v>40766</v>
      </c>
      <c r="T39" t="s">
        <v>169</v>
      </c>
    </row>
    <row r="40" spans="1:20" hidden="1" x14ac:dyDescent="0.2">
      <c r="A40" t="s">
        <v>144</v>
      </c>
      <c r="D40" s="10">
        <v>40756</v>
      </c>
      <c r="E40" s="11" t="s">
        <v>19</v>
      </c>
      <c r="F40" t="s">
        <v>29</v>
      </c>
      <c r="G40" t="s">
        <v>25</v>
      </c>
      <c r="I40" t="s">
        <v>26</v>
      </c>
      <c r="L40" s="33">
        <v>1500</v>
      </c>
      <c r="M40" s="34"/>
      <c r="N40" s="36">
        <v>40765</v>
      </c>
      <c r="O40" s="30"/>
      <c r="P40" s="13"/>
      <c r="Q40" s="34" t="s">
        <v>23</v>
      </c>
      <c r="R40" s="13"/>
      <c r="S40" s="13"/>
    </row>
    <row r="41" spans="1:20" hidden="1" x14ac:dyDescent="0.2">
      <c r="A41" t="s">
        <v>145</v>
      </c>
      <c r="D41" s="10">
        <v>40760</v>
      </c>
      <c r="E41" s="11" t="s">
        <v>19</v>
      </c>
      <c r="F41" t="s">
        <v>27</v>
      </c>
      <c r="G41" t="s">
        <v>28</v>
      </c>
      <c r="I41" t="s">
        <v>8</v>
      </c>
      <c r="J41" t="s">
        <v>29</v>
      </c>
      <c r="L41" s="33">
        <v>1334</v>
      </c>
      <c r="M41" s="34"/>
      <c r="N41" s="36">
        <v>40816</v>
      </c>
      <c r="O41" s="35">
        <f>L41*0.196</f>
        <v>261.464</v>
      </c>
      <c r="P41" s="13"/>
      <c r="Q41" s="34" t="s">
        <v>30</v>
      </c>
      <c r="R41" s="34">
        <v>828.02</v>
      </c>
      <c r="S41" s="36">
        <v>40787</v>
      </c>
    </row>
    <row r="42" spans="1:20" hidden="1" x14ac:dyDescent="0.2">
      <c r="A42" t="s">
        <v>146</v>
      </c>
      <c r="D42" s="10">
        <v>40760</v>
      </c>
      <c r="E42" s="11" t="s">
        <v>19</v>
      </c>
      <c r="F42" t="s">
        <v>139</v>
      </c>
      <c r="G42" t="s">
        <v>28</v>
      </c>
      <c r="I42" t="s">
        <v>8</v>
      </c>
      <c r="J42" t="s">
        <v>52</v>
      </c>
      <c r="L42" s="33">
        <v>697</v>
      </c>
      <c r="M42" s="34"/>
      <c r="N42" s="36">
        <v>40821</v>
      </c>
      <c r="O42" s="35">
        <f>L42*0.196</f>
        <v>136.61199999999999</v>
      </c>
      <c r="P42" s="13"/>
      <c r="Q42" s="34" t="s">
        <v>30</v>
      </c>
      <c r="R42" s="34">
        <v>432.14</v>
      </c>
      <c r="S42" s="36">
        <v>40832</v>
      </c>
      <c r="T42" t="s">
        <v>167</v>
      </c>
    </row>
    <row r="43" spans="1:20" x14ac:dyDescent="0.2">
      <c r="A43" t="s">
        <v>147</v>
      </c>
      <c r="D43" s="10">
        <v>40760</v>
      </c>
      <c r="E43" s="11" t="s">
        <v>19</v>
      </c>
      <c r="F43" t="s">
        <v>20</v>
      </c>
      <c r="G43" t="s">
        <v>21</v>
      </c>
      <c r="I43" t="s">
        <v>22</v>
      </c>
      <c r="L43" s="33">
        <f>16737.97-4125.97</f>
        <v>12612</v>
      </c>
      <c r="M43" s="34"/>
      <c r="N43" s="36">
        <v>40767</v>
      </c>
      <c r="O43" s="30"/>
      <c r="P43" s="13"/>
      <c r="Q43" s="34" t="s">
        <v>56</v>
      </c>
      <c r="R43" s="13"/>
      <c r="S43" s="13"/>
    </row>
    <row r="44" spans="1:20" hidden="1" x14ac:dyDescent="0.2">
      <c r="A44" t="s">
        <v>148</v>
      </c>
      <c r="D44" s="10">
        <v>40760</v>
      </c>
      <c r="E44" s="11" t="s">
        <v>19</v>
      </c>
      <c r="F44" t="s">
        <v>20</v>
      </c>
      <c r="G44" t="s">
        <v>21</v>
      </c>
      <c r="I44" t="s">
        <v>109</v>
      </c>
      <c r="L44" s="33">
        <v>180</v>
      </c>
      <c r="M44" s="34"/>
      <c r="N44" s="36">
        <v>40767</v>
      </c>
      <c r="O44" s="30"/>
      <c r="P44" s="13"/>
      <c r="Q44" s="34" t="s">
        <v>30</v>
      </c>
      <c r="R44" s="13"/>
      <c r="S44" s="13"/>
    </row>
    <row r="45" spans="1:20" hidden="1" x14ac:dyDescent="0.2">
      <c r="A45" t="s">
        <v>149</v>
      </c>
      <c r="D45" s="10">
        <v>40773</v>
      </c>
      <c r="E45" s="11" t="s">
        <v>19</v>
      </c>
      <c r="F45" t="s">
        <v>153</v>
      </c>
      <c r="G45" t="s">
        <v>79</v>
      </c>
      <c r="I45" t="s">
        <v>8</v>
      </c>
      <c r="J45" t="s">
        <v>52</v>
      </c>
      <c r="L45" s="33">
        <v>3774</v>
      </c>
      <c r="M45" s="34"/>
      <c r="N45" s="36">
        <v>40804</v>
      </c>
      <c r="O45" s="30"/>
      <c r="P45" s="13"/>
      <c r="Q45" s="34" t="s">
        <v>30</v>
      </c>
      <c r="R45" s="34">
        <v>2339.88</v>
      </c>
      <c r="S45" s="36">
        <v>40801</v>
      </c>
      <c r="T45" t="s">
        <v>158</v>
      </c>
    </row>
    <row r="46" spans="1:20" hidden="1" x14ac:dyDescent="0.2">
      <c r="A46" t="s">
        <v>150</v>
      </c>
      <c r="D46" s="10">
        <v>40778</v>
      </c>
      <c r="E46" s="11" t="s">
        <v>19</v>
      </c>
      <c r="F46" t="s">
        <v>51</v>
      </c>
      <c r="G46" t="s">
        <v>28</v>
      </c>
      <c r="I46" t="s">
        <v>8</v>
      </c>
      <c r="J46" t="s">
        <v>52</v>
      </c>
      <c r="L46" s="33">
        <v>605</v>
      </c>
      <c r="M46" s="34"/>
      <c r="N46" s="36">
        <v>40809</v>
      </c>
      <c r="O46" s="35">
        <f>0.196*L46</f>
        <v>118.58</v>
      </c>
      <c r="P46" s="13"/>
      <c r="Q46" s="34" t="s">
        <v>30</v>
      </c>
      <c r="R46" s="34">
        <v>375.1</v>
      </c>
      <c r="S46" s="36">
        <v>40801</v>
      </c>
    </row>
    <row r="47" spans="1:20" hidden="1" x14ac:dyDescent="0.2">
      <c r="A47" t="s">
        <v>151</v>
      </c>
      <c r="D47" s="10">
        <v>40778</v>
      </c>
      <c r="E47" s="11" t="s">
        <v>19</v>
      </c>
      <c r="F47" t="s">
        <v>159</v>
      </c>
      <c r="G47" t="s">
        <v>28</v>
      </c>
      <c r="I47" t="s">
        <v>8</v>
      </c>
      <c r="J47" t="s">
        <v>52</v>
      </c>
      <c r="L47" s="33">
        <v>884</v>
      </c>
      <c r="M47" s="34"/>
      <c r="N47" s="36">
        <v>40816</v>
      </c>
      <c r="O47" s="35">
        <f>L47*0.196</f>
        <v>173.26400000000001</v>
      </c>
      <c r="P47" s="13"/>
      <c r="Q47" s="34" t="s">
        <v>30</v>
      </c>
      <c r="R47" s="34">
        <f>535.96+24</f>
        <v>559.96</v>
      </c>
      <c r="S47" s="36">
        <v>40796</v>
      </c>
    </row>
    <row r="48" spans="1:20" hidden="1" x14ac:dyDescent="0.2">
      <c r="A48" t="s">
        <v>152</v>
      </c>
      <c r="D48" s="10">
        <v>40780</v>
      </c>
      <c r="E48" s="11" t="s">
        <v>19</v>
      </c>
      <c r="F48" t="s">
        <v>51</v>
      </c>
      <c r="G48" t="s">
        <v>28</v>
      </c>
      <c r="I48" t="s">
        <v>8</v>
      </c>
      <c r="J48" t="s">
        <v>52</v>
      </c>
      <c r="L48" s="33">
        <v>605</v>
      </c>
      <c r="M48" s="34"/>
      <c r="N48" s="36">
        <v>40811</v>
      </c>
      <c r="O48" s="35">
        <f>L48*0.196</f>
        <v>118.58</v>
      </c>
      <c r="P48" s="13"/>
      <c r="Q48" s="34" t="s">
        <v>30</v>
      </c>
      <c r="R48" s="34">
        <v>375.1</v>
      </c>
      <c r="S48" s="36">
        <v>40829</v>
      </c>
      <c r="T48" t="s">
        <v>167</v>
      </c>
    </row>
    <row r="49" spans="1:20" hidden="1" x14ac:dyDescent="0.2">
      <c r="A49" t="s">
        <v>157</v>
      </c>
      <c r="D49" s="10">
        <v>40788</v>
      </c>
      <c r="E49" s="11" t="s">
        <v>19</v>
      </c>
      <c r="F49" t="s">
        <v>29</v>
      </c>
      <c r="G49" t="s">
        <v>25</v>
      </c>
      <c r="I49" t="s">
        <v>26</v>
      </c>
      <c r="L49" s="33">
        <v>1500</v>
      </c>
      <c r="M49" s="34"/>
      <c r="N49" s="36">
        <v>40801</v>
      </c>
      <c r="O49" s="30"/>
      <c r="P49" s="13"/>
      <c r="Q49" s="34" t="s">
        <v>23</v>
      </c>
      <c r="R49" s="34"/>
      <c r="S49" s="36">
        <v>40806</v>
      </c>
    </row>
    <row r="50" spans="1:20" x14ac:dyDescent="0.2">
      <c r="A50" t="s">
        <v>156</v>
      </c>
      <c r="D50" s="10">
        <v>40795</v>
      </c>
      <c r="E50" s="11" t="s">
        <v>19</v>
      </c>
      <c r="F50" t="s">
        <v>20</v>
      </c>
      <c r="G50" t="s">
        <v>21</v>
      </c>
      <c r="I50" t="s">
        <v>22</v>
      </c>
      <c r="J50" t="s">
        <v>20</v>
      </c>
      <c r="L50" s="33">
        <v>17444.16</v>
      </c>
      <c r="M50" s="34"/>
      <c r="N50" s="36">
        <v>40816</v>
      </c>
      <c r="O50" s="35"/>
      <c r="P50" s="34"/>
      <c r="Q50" s="34" t="s">
        <v>23</v>
      </c>
      <c r="R50" s="34"/>
      <c r="S50" s="36">
        <v>40814</v>
      </c>
    </row>
    <row r="51" spans="1:20" hidden="1" x14ac:dyDescent="0.2">
      <c r="A51" t="s">
        <v>160</v>
      </c>
      <c r="D51" s="10">
        <v>40819</v>
      </c>
      <c r="E51" s="11" t="s">
        <v>19</v>
      </c>
      <c r="F51" t="s">
        <v>29</v>
      </c>
      <c r="G51" t="s">
        <v>25</v>
      </c>
      <c r="I51" t="s">
        <v>26</v>
      </c>
      <c r="L51" s="33">
        <v>1500</v>
      </c>
      <c r="M51" s="34"/>
      <c r="N51" s="36">
        <v>40831</v>
      </c>
      <c r="O51" s="35"/>
      <c r="P51" s="34"/>
      <c r="Q51" s="34" t="s">
        <v>56</v>
      </c>
      <c r="R51" s="34"/>
      <c r="S51" s="36">
        <v>40822</v>
      </c>
    </row>
    <row r="52" spans="1:20" x14ac:dyDescent="0.2">
      <c r="A52" t="s">
        <v>161</v>
      </c>
      <c r="D52" s="10">
        <v>40826</v>
      </c>
      <c r="E52" s="11" t="s">
        <v>19</v>
      </c>
      <c r="F52" t="s">
        <v>20</v>
      </c>
      <c r="G52" t="s">
        <v>21</v>
      </c>
      <c r="I52" t="s">
        <v>22</v>
      </c>
      <c r="L52" s="33">
        <v>3179.28</v>
      </c>
      <c r="M52" s="34"/>
      <c r="N52" s="36">
        <v>40846</v>
      </c>
      <c r="O52" s="35"/>
      <c r="P52" s="34"/>
      <c r="Q52" s="34" t="s">
        <v>56</v>
      </c>
      <c r="R52" s="13"/>
      <c r="S52" s="36">
        <v>40843</v>
      </c>
    </row>
    <row r="53" spans="1:20" hidden="1" x14ac:dyDescent="0.2">
      <c r="A53" t="s">
        <v>162</v>
      </c>
      <c r="D53" s="10">
        <v>40826</v>
      </c>
      <c r="E53" s="11" t="s">
        <v>19</v>
      </c>
      <c r="F53" t="s">
        <v>166</v>
      </c>
      <c r="G53" t="s">
        <v>28</v>
      </c>
      <c r="I53" t="s">
        <v>8</v>
      </c>
      <c r="J53" t="s">
        <v>20</v>
      </c>
      <c r="L53" s="33">
        <v>466</v>
      </c>
      <c r="M53" s="34"/>
      <c r="N53" s="36">
        <v>40857</v>
      </c>
      <c r="O53" s="35">
        <v>91.34</v>
      </c>
      <c r="P53" s="34"/>
      <c r="Q53" s="34" t="s">
        <v>30</v>
      </c>
      <c r="R53" s="34">
        <v>288</v>
      </c>
      <c r="S53" s="36">
        <v>40851</v>
      </c>
    </row>
    <row r="54" spans="1:20" hidden="1" x14ac:dyDescent="0.2">
      <c r="A54" t="s">
        <v>163</v>
      </c>
      <c r="D54" s="10">
        <v>40827</v>
      </c>
      <c r="E54" s="11" t="s">
        <v>19</v>
      </c>
      <c r="F54" t="s">
        <v>168</v>
      </c>
      <c r="G54" t="s">
        <v>28</v>
      </c>
      <c r="I54" t="s">
        <v>8</v>
      </c>
      <c r="J54" t="s">
        <v>52</v>
      </c>
      <c r="L54" s="33">
        <v>1127</v>
      </c>
      <c r="M54" s="20"/>
      <c r="N54" s="21">
        <v>40858</v>
      </c>
      <c r="O54" s="35">
        <v>220.89</v>
      </c>
      <c r="P54" s="34"/>
      <c r="Q54" s="34" t="s">
        <v>30</v>
      </c>
      <c r="R54" s="42">
        <v>776.14</v>
      </c>
      <c r="S54" s="43">
        <v>40921</v>
      </c>
      <c r="T54" t="s">
        <v>186</v>
      </c>
    </row>
    <row r="55" spans="1:20" hidden="1" x14ac:dyDescent="0.2">
      <c r="A55" t="s">
        <v>164</v>
      </c>
      <c r="D55" s="10">
        <v>40845</v>
      </c>
      <c r="E55" s="11" t="s">
        <v>19</v>
      </c>
      <c r="F55" t="s">
        <v>170</v>
      </c>
      <c r="G55" t="s">
        <v>28</v>
      </c>
      <c r="I55" t="s">
        <v>8</v>
      </c>
      <c r="J55" t="s">
        <v>20</v>
      </c>
      <c r="L55" s="33">
        <v>595</v>
      </c>
      <c r="M55" s="34"/>
      <c r="N55" s="36">
        <v>40511</v>
      </c>
      <c r="O55" s="35">
        <v>116.62</v>
      </c>
      <c r="P55" s="13"/>
      <c r="Q55" s="34" t="s">
        <v>30</v>
      </c>
      <c r="R55" s="34">
        <v>408</v>
      </c>
      <c r="S55" s="36">
        <v>40509</v>
      </c>
      <c r="T55" t="s">
        <v>194</v>
      </c>
    </row>
    <row r="56" spans="1:20" hidden="1" x14ac:dyDescent="0.2">
      <c r="A56" t="s">
        <v>165</v>
      </c>
      <c r="D56" s="10">
        <v>40847</v>
      </c>
      <c r="E56" s="11" t="s">
        <v>19</v>
      </c>
      <c r="F56" t="s">
        <v>171</v>
      </c>
      <c r="G56" t="s">
        <v>28</v>
      </c>
      <c r="I56" t="s">
        <v>8</v>
      </c>
      <c r="J56" t="s">
        <v>29</v>
      </c>
      <c r="L56" s="46">
        <v>279</v>
      </c>
      <c r="M56" s="13"/>
      <c r="N56" s="23">
        <v>40892</v>
      </c>
      <c r="O56" s="30">
        <v>54.68</v>
      </c>
      <c r="P56" s="13"/>
      <c r="Q56" s="34" t="s">
        <v>30</v>
      </c>
      <c r="R56" s="34">
        <v>165.97</v>
      </c>
      <c r="S56" s="36">
        <v>40509</v>
      </c>
    </row>
    <row r="57" spans="1:20" hidden="1" x14ac:dyDescent="0.2">
      <c r="A57" t="s">
        <v>172</v>
      </c>
      <c r="D57" s="10">
        <v>40847</v>
      </c>
      <c r="E57" s="11" t="s">
        <v>19</v>
      </c>
      <c r="F57" t="s">
        <v>173</v>
      </c>
      <c r="G57" t="s">
        <v>28</v>
      </c>
      <c r="I57" t="s">
        <v>8</v>
      </c>
      <c r="J57" t="s">
        <v>52</v>
      </c>
      <c r="L57" s="46">
        <v>1330</v>
      </c>
      <c r="M57" s="13"/>
      <c r="N57" s="23">
        <v>40512</v>
      </c>
      <c r="O57" s="30">
        <v>260.68</v>
      </c>
      <c r="P57" s="13"/>
      <c r="Q57" s="34" t="s">
        <v>30</v>
      </c>
      <c r="R57" s="34">
        <v>824.6</v>
      </c>
      <c r="S57" s="36">
        <v>40508</v>
      </c>
      <c r="T57" s="42" t="s">
        <v>200</v>
      </c>
    </row>
    <row r="58" spans="1:20" s="34" customFormat="1" hidden="1" x14ac:dyDescent="0.2">
      <c r="A58" s="34" t="s">
        <v>174</v>
      </c>
      <c r="D58" s="36">
        <v>40847</v>
      </c>
      <c r="E58" s="11" t="s">
        <v>19</v>
      </c>
      <c r="F58" s="34" t="s">
        <v>20</v>
      </c>
      <c r="G58" s="34" t="s">
        <v>28</v>
      </c>
      <c r="I58" s="34" t="s">
        <v>109</v>
      </c>
      <c r="L58" s="33">
        <v>180</v>
      </c>
      <c r="N58" s="36">
        <v>40512</v>
      </c>
      <c r="O58" s="35">
        <v>0</v>
      </c>
      <c r="Q58" s="34" t="s">
        <v>30</v>
      </c>
    </row>
    <row r="59" spans="1:20" s="34" customFormat="1" hidden="1" x14ac:dyDescent="0.2">
      <c r="A59" s="34" t="s">
        <v>175</v>
      </c>
      <c r="D59" s="36">
        <v>40849</v>
      </c>
      <c r="E59" s="11" t="s">
        <v>19</v>
      </c>
      <c r="F59" s="34" t="s">
        <v>29</v>
      </c>
      <c r="G59" s="34" t="s">
        <v>25</v>
      </c>
      <c r="I59" s="34" t="s">
        <v>26</v>
      </c>
      <c r="L59" s="33">
        <v>1500</v>
      </c>
      <c r="N59" s="36">
        <v>40862</v>
      </c>
      <c r="O59" s="35"/>
      <c r="Q59" s="34" t="s">
        <v>23</v>
      </c>
    </row>
    <row r="60" spans="1:20" hidden="1" x14ac:dyDescent="0.2">
      <c r="A60" t="s">
        <v>176</v>
      </c>
      <c r="D60" s="10">
        <v>40854</v>
      </c>
      <c r="E60" s="11" t="s">
        <v>19</v>
      </c>
      <c r="F60" t="s">
        <v>67</v>
      </c>
      <c r="G60" t="s">
        <v>28</v>
      </c>
      <c r="I60" t="s">
        <v>8</v>
      </c>
      <c r="J60" t="s">
        <v>52</v>
      </c>
      <c r="L60" s="46">
        <v>2110</v>
      </c>
      <c r="M60" s="13"/>
      <c r="N60" s="23">
        <v>40884</v>
      </c>
      <c r="O60" s="30">
        <v>413.56</v>
      </c>
      <c r="P60" s="13"/>
      <c r="Q60" s="20" t="s">
        <v>30</v>
      </c>
      <c r="R60" s="20">
        <v>1308.2</v>
      </c>
      <c r="S60" s="21">
        <v>40880</v>
      </c>
      <c r="T60" s="42" t="s">
        <v>211</v>
      </c>
    </row>
    <row r="61" spans="1:20" x14ac:dyDescent="0.2">
      <c r="A61" t="s">
        <v>177</v>
      </c>
      <c r="D61" s="10">
        <v>40855</v>
      </c>
      <c r="E61" s="11" t="s">
        <v>19</v>
      </c>
      <c r="F61" t="s">
        <v>20</v>
      </c>
      <c r="G61" t="s">
        <v>21</v>
      </c>
      <c r="I61" t="s">
        <v>22</v>
      </c>
      <c r="L61" s="33">
        <v>14753</v>
      </c>
      <c r="M61" s="34"/>
      <c r="N61" s="36">
        <v>40877</v>
      </c>
      <c r="O61" s="35"/>
      <c r="P61" s="34"/>
      <c r="Q61" s="34" t="s">
        <v>23</v>
      </c>
      <c r="R61" s="34"/>
      <c r="S61" s="34"/>
    </row>
    <row r="62" spans="1:20" hidden="1" x14ac:dyDescent="0.2">
      <c r="A62" t="s">
        <v>178</v>
      </c>
      <c r="D62" s="10">
        <v>40865</v>
      </c>
      <c r="E62" s="11" t="s">
        <v>19</v>
      </c>
      <c r="F62" t="s">
        <v>181</v>
      </c>
      <c r="G62" t="s">
        <v>28</v>
      </c>
      <c r="I62" t="s">
        <v>8</v>
      </c>
      <c r="J62" t="s">
        <v>20</v>
      </c>
      <c r="L62" s="33">
        <v>545</v>
      </c>
      <c r="M62" s="34"/>
      <c r="N62" s="36">
        <v>40895</v>
      </c>
      <c r="O62" s="35">
        <v>106.82</v>
      </c>
      <c r="P62" s="34"/>
      <c r="Q62" s="34" t="s">
        <v>30</v>
      </c>
      <c r="R62" s="20">
        <f>297+19</f>
        <v>316</v>
      </c>
      <c r="S62" s="21">
        <v>40895</v>
      </c>
    </row>
    <row r="63" spans="1:20" hidden="1" x14ac:dyDescent="0.2">
      <c r="A63" t="s">
        <v>179</v>
      </c>
      <c r="D63" s="10">
        <v>40865</v>
      </c>
      <c r="E63" s="11" t="s">
        <v>19</v>
      </c>
      <c r="F63" t="s">
        <v>182</v>
      </c>
      <c r="G63" t="s">
        <v>28</v>
      </c>
      <c r="I63" t="s">
        <v>8</v>
      </c>
      <c r="J63" t="s">
        <v>52</v>
      </c>
      <c r="L63" s="17">
        <v>375</v>
      </c>
      <c r="M63" s="13"/>
      <c r="N63" s="23">
        <v>40895</v>
      </c>
      <c r="O63" s="30">
        <f>L63*0.196</f>
        <v>73.5</v>
      </c>
      <c r="P63" s="13"/>
      <c r="Q63" s="20" t="s">
        <v>30</v>
      </c>
      <c r="R63" s="20">
        <v>232.5</v>
      </c>
      <c r="S63" s="21">
        <v>40901</v>
      </c>
      <c r="T63" s="42" t="s">
        <v>215</v>
      </c>
    </row>
    <row r="64" spans="1:20" hidden="1" x14ac:dyDescent="0.2">
      <c r="A64" t="s">
        <v>180</v>
      </c>
      <c r="D64" s="10">
        <v>40868</v>
      </c>
      <c r="E64" s="11" t="s">
        <v>19</v>
      </c>
      <c r="F64" t="s">
        <v>183</v>
      </c>
      <c r="G64" t="s">
        <v>28</v>
      </c>
      <c r="I64" t="s">
        <v>8</v>
      </c>
      <c r="J64" t="s">
        <v>29</v>
      </c>
      <c r="L64" s="33">
        <f>193+20</f>
        <v>213</v>
      </c>
      <c r="M64" s="34"/>
      <c r="N64" s="36">
        <v>40868</v>
      </c>
      <c r="O64" s="35">
        <v>41.75</v>
      </c>
      <c r="P64" s="34"/>
      <c r="Q64" s="34" t="s">
        <v>30</v>
      </c>
      <c r="R64" s="20">
        <v>143.29</v>
      </c>
      <c r="S64" s="21">
        <v>40894</v>
      </c>
    </row>
    <row r="65" spans="1:20" hidden="1" x14ac:dyDescent="0.2">
      <c r="A65" t="s">
        <v>184</v>
      </c>
      <c r="D65" s="10">
        <v>40868</v>
      </c>
      <c r="E65" s="11" t="s">
        <v>19</v>
      </c>
      <c r="F65" t="s">
        <v>185</v>
      </c>
      <c r="G65" t="s">
        <v>28</v>
      </c>
      <c r="I65" t="s">
        <v>8</v>
      </c>
      <c r="J65" t="s">
        <v>29</v>
      </c>
      <c r="L65" s="33">
        <f>163.9+30</f>
        <v>193.9</v>
      </c>
      <c r="M65" s="34"/>
      <c r="N65" s="36">
        <v>40898</v>
      </c>
      <c r="O65" s="35">
        <f>L65*0.196</f>
        <v>38.004400000000004</v>
      </c>
      <c r="P65" s="13"/>
      <c r="Q65" s="20" t="s">
        <v>30</v>
      </c>
      <c r="R65" s="20">
        <v>115.57</v>
      </c>
      <c r="S65" s="21">
        <v>40894</v>
      </c>
    </row>
    <row r="66" spans="1:20" hidden="1" x14ac:dyDescent="0.2">
      <c r="A66" t="s">
        <v>187</v>
      </c>
      <c r="D66" s="10">
        <v>40875</v>
      </c>
      <c r="E66" s="11" t="s">
        <v>19</v>
      </c>
      <c r="F66" t="s">
        <v>188</v>
      </c>
      <c r="G66" t="s">
        <v>28</v>
      </c>
      <c r="I66" t="s">
        <v>8</v>
      </c>
      <c r="J66" t="s">
        <v>52</v>
      </c>
      <c r="L66" s="17">
        <v>3145</v>
      </c>
      <c r="M66" s="13"/>
      <c r="N66" s="23">
        <v>40905</v>
      </c>
      <c r="O66" s="30">
        <v>616.41999999999996</v>
      </c>
      <c r="P66" s="13"/>
      <c r="Q66" s="20" t="s">
        <v>30</v>
      </c>
      <c r="R66" s="49">
        <f>L66*0.62</f>
        <v>1949.9</v>
      </c>
      <c r="S66" s="21">
        <v>40901</v>
      </c>
    </row>
    <row r="67" spans="1:20" hidden="1" x14ac:dyDescent="0.2">
      <c r="A67" t="s">
        <v>189</v>
      </c>
      <c r="D67" s="10">
        <v>40875</v>
      </c>
      <c r="E67" s="11" t="s">
        <v>19</v>
      </c>
      <c r="F67" t="s">
        <v>190</v>
      </c>
      <c r="G67" t="s">
        <v>28</v>
      </c>
      <c r="I67" t="s">
        <v>8</v>
      </c>
      <c r="J67" t="s">
        <v>20</v>
      </c>
      <c r="L67" s="33">
        <v>446</v>
      </c>
      <c r="M67" s="34"/>
      <c r="N67" s="36">
        <v>40905</v>
      </c>
      <c r="O67" s="35">
        <f>L67*0.196</f>
        <v>87.415999999999997</v>
      </c>
      <c r="P67" s="34"/>
      <c r="Q67" s="34" t="s">
        <v>30</v>
      </c>
      <c r="R67" s="49">
        <v>287</v>
      </c>
      <c r="S67" s="21">
        <v>40902</v>
      </c>
    </row>
    <row r="68" spans="1:20" hidden="1" x14ac:dyDescent="0.2">
      <c r="A68" t="s">
        <v>192</v>
      </c>
      <c r="D68" s="10">
        <v>40878</v>
      </c>
      <c r="E68" s="11" t="s">
        <v>19</v>
      </c>
      <c r="F68" t="s">
        <v>191</v>
      </c>
      <c r="G68" t="s">
        <v>28</v>
      </c>
      <c r="I68" t="s">
        <v>8</v>
      </c>
      <c r="J68" t="s">
        <v>29</v>
      </c>
      <c r="L68" s="17">
        <v>1532</v>
      </c>
      <c r="M68" s="13"/>
      <c r="N68" s="23">
        <v>40909</v>
      </c>
      <c r="O68" s="30">
        <v>300.27</v>
      </c>
      <c r="P68" s="13"/>
      <c r="Q68" s="20" t="s">
        <v>30</v>
      </c>
      <c r="R68" s="20">
        <f>996+21.7</f>
        <v>1017.7</v>
      </c>
      <c r="S68" s="21">
        <v>40906</v>
      </c>
    </row>
    <row r="69" spans="1:20" hidden="1" x14ac:dyDescent="0.2">
      <c r="A69" t="s">
        <v>193</v>
      </c>
      <c r="D69" s="10">
        <v>40878</v>
      </c>
      <c r="E69" s="11" t="s">
        <v>19</v>
      </c>
      <c r="F69" t="s">
        <v>29</v>
      </c>
      <c r="G69" t="s">
        <v>25</v>
      </c>
      <c r="I69" t="s">
        <v>26</v>
      </c>
      <c r="L69" s="33">
        <v>1500</v>
      </c>
      <c r="M69" s="34"/>
      <c r="N69" s="36">
        <v>40892</v>
      </c>
      <c r="O69" s="35"/>
      <c r="P69" s="34"/>
      <c r="Q69" s="34" t="s">
        <v>56</v>
      </c>
      <c r="R69" s="34"/>
      <c r="S69" s="34"/>
    </row>
    <row r="70" spans="1:20" hidden="1" x14ac:dyDescent="0.2">
      <c r="A70" t="s">
        <v>195</v>
      </c>
      <c r="D70" s="10">
        <v>40883</v>
      </c>
      <c r="E70" s="11" t="s">
        <v>19</v>
      </c>
      <c r="F70" t="s">
        <v>196</v>
      </c>
      <c r="G70" t="s">
        <v>28</v>
      </c>
      <c r="I70" t="s">
        <v>8</v>
      </c>
      <c r="J70" t="s">
        <v>197</v>
      </c>
      <c r="L70" s="41">
        <f>2233+35</f>
        <v>2268</v>
      </c>
      <c r="M70" s="42"/>
      <c r="N70" s="43">
        <v>40918</v>
      </c>
      <c r="O70" s="44">
        <f>L70*0.196</f>
        <v>444.52800000000002</v>
      </c>
      <c r="P70" s="42"/>
      <c r="Q70" s="42" t="s">
        <v>30</v>
      </c>
      <c r="R70" s="42">
        <v>1486.45</v>
      </c>
      <c r="S70" s="43">
        <v>40915</v>
      </c>
      <c r="T70" s="42"/>
    </row>
    <row r="71" spans="1:20" hidden="1" x14ac:dyDescent="0.2">
      <c r="A71" t="s">
        <v>198</v>
      </c>
      <c r="D71" s="10">
        <v>40884</v>
      </c>
      <c r="E71" s="11" t="s">
        <v>19</v>
      </c>
      <c r="F71" t="s">
        <v>199</v>
      </c>
      <c r="G71" t="s">
        <v>28</v>
      </c>
      <c r="I71" t="s">
        <v>8</v>
      </c>
      <c r="J71" t="s">
        <v>29</v>
      </c>
      <c r="L71" s="41">
        <v>257</v>
      </c>
      <c r="M71" s="42"/>
      <c r="N71" s="43">
        <v>40915</v>
      </c>
      <c r="O71" s="44">
        <v>50.37</v>
      </c>
      <c r="P71" s="42"/>
      <c r="Q71" s="42" t="s">
        <v>30</v>
      </c>
      <c r="R71" s="42"/>
      <c r="S71" s="43">
        <v>40913</v>
      </c>
    </row>
    <row r="72" spans="1:20" hidden="1" x14ac:dyDescent="0.2">
      <c r="A72" t="s">
        <v>201</v>
      </c>
      <c r="D72" s="10">
        <v>40886</v>
      </c>
      <c r="E72" s="11" t="s">
        <v>19</v>
      </c>
      <c r="F72" t="s">
        <v>202</v>
      </c>
      <c r="G72" t="s">
        <v>28</v>
      </c>
      <c r="I72" t="s">
        <v>8</v>
      </c>
      <c r="J72" t="s">
        <v>20</v>
      </c>
      <c r="L72" s="41">
        <v>2160</v>
      </c>
      <c r="M72" s="42"/>
      <c r="N72" s="43">
        <v>40932</v>
      </c>
      <c r="O72" s="44">
        <f>0.196*L72</f>
        <v>423.36</v>
      </c>
      <c r="P72" s="42"/>
      <c r="Q72" s="20" t="s">
        <v>30</v>
      </c>
      <c r="R72" s="20">
        <f>855+437</f>
        <v>1292</v>
      </c>
      <c r="S72" s="21">
        <v>40908</v>
      </c>
    </row>
    <row r="73" spans="1:20" x14ac:dyDescent="0.2">
      <c r="A73" t="s">
        <v>203</v>
      </c>
      <c r="D73" s="10">
        <v>40887</v>
      </c>
      <c r="E73" s="11" t="s">
        <v>19</v>
      </c>
      <c r="F73" t="s">
        <v>20</v>
      </c>
      <c r="G73" t="s">
        <v>21</v>
      </c>
      <c r="I73" t="s">
        <v>22</v>
      </c>
      <c r="L73" s="33">
        <v>3536.07</v>
      </c>
      <c r="M73" s="34"/>
      <c r="N73" s="36">
        <v>40907</v>
      </c>
      <c r="O73" s="35"/>
      <c r="P73" s="34"/>
      <c r="Q73" s="34" t="s">
        <v>56</v>
      </c>
      <c r="R73" s="34"/>
      <c r="S73" s="42"/>
    </row>
    <row r="74" spans="1:20" hidden="1" x14ac:dyDescent="0.2">
      <c r="A74" t="s">
        <v>204</v>
      </c>
      <c r="D74" s="10">
        <v>40887</v>
      </c>
      <c r="E74" s="11" t="s">
        <v>19</v>
      </c>
      <c r="F74" t="s">
        <v>20</v>
      </c>
      <c r="G74" t="s">
        <v>21</v>
      </c>
      <c r="I74" t="s">
        <v>109</v>
      </c>
      <c r="L74" s="33">
        <v>180</v>
      </c>
      <c r="M74" s="34"/>
      <c r="N74" s="36">
        <v>40907</v>
      </c>
      <c r="O74" s="35"/>
      <c r="P74" s="34"/>
      <c r="Q74" s="34" t="s">
        <v>30</v>
      </c>
      <c r="R74" s="34"/>
      <c r="S74" s="42"/>
    </row>
    <row r="75" spans="1:20" hidden="1" x14ac:dyDescent="0.2">
      <c r="A75" t="s">
        <v>205</v>
      </c>
      <c r="D75" s="10">
        <v>40894</v>
      </c>
      <c r="E75" s="11" t="s">
        <v>19</v>
      </c>
      <c r="F75" t="s">
        <v>206</v>
      </c>
      <c r="G75" t="s">
        <v>28</v>
      </c>
      <c r="I75" t="s">
        <v>8</v>
      </c>
      <c r="J75" t="s">
        <v>20</v>
      </c>
      <c r="L75" s="41">
        <f>441+30</f>
        <v>471</v>
      </c>
      <c r="M75" s="42"/>
      <c r="N75" s="43">
        <v>40925</v>
      </c>
      <c r="O75" s="44">
        <v>92.32</v>
      </c>
      <c r="P75" s="42"/>
      <c r="Q75" s="42" t="s">
        <v>30</v>
      </c>
      <c r="R75" s="42">
        <v>290</v>
      </c>
      <c r="S75" s="43">
        <v>40559</v>
      </c>
    </row>
    <row r="76" spans="1:20" hidden="1" x14ac:dyDescent="0.2">
      <c r="A76" t="s">
        <v>207</v>
      </c>
      <c r="D76" s="10">
        <v>40894</v>
      </c>
      <c r="E76" s="11" t="s">
        <v>19</v>
      </c>
      <c r="F76" t="s">
        <v>208</v>
      </c>
      <c r="G76" t="s">
        <v>28</v>
      </c>
      <c r="I76" t="s">
        <v>8</v>
      </c>
      <c r="J76" t="s">
        <v>52</v>
      </c>
      <c r="L76" s="41">
        <v>1990</v>
      </c>
      <c r="M76" s="42"/>
      <c r="N76" s="43">
        <v>40956</v>
      </c>
      <c r="O76" s="44">
        <f>0.196*L76</f>
        <v>390.04</v>
      </c>
      <c r="P76" s="42"/>
      <c r="Q76" s="42" t="s">
        <v>30</v>
      </c>
      <c r="R76" s="42">
        <f>663.4+736</f>
        <v>1399.4</v>
      </c>
      <c r="S76" s="43">
        <v>40923</v>
      </c>
      <c r="T76" s="42" t="s">
        <v>216</v>
      </c>
    </row>
    <row r="77" spans="1:20" hidden="1" x14ac:dyDescent="0.2">
      <c r="A77" t="s">
        <v>209</v>
      </c>
      <c r="D77" s="10">
        <v>40894</v>
      </c>
      <c r="E77" s="11" t="s">
        <v>19</v>
      </c>
      <c r="F77" t="s">
        <v>210</v>
      </c>
      <c r="G77" t="s">
        <v>28</v>
      </c>
      <c r="I77" t="s">
        <v>8</v>
      </c>
      <c r="J77" t="s">
        <v>52</v>
      </c>
      <c r="L77" s="41">
        <v>384.75</v>
      </c>
      <c r="M77" s="42"/>
      <c r="N77" s="43">
        <v>40925</v>
      </c>
      <c r="O77" s="44">
        <f>0.196*L77</f>
        <v>75.411000000000001</v>
      </c>
      <c r="P77" s="42"/>
      <c r="Q77" s="42" t="s">
        <v>30</v>
      </c>
      <c r="R77" s="42">
        <v>256.5</v>
      </c>
      <c r="S77" s="43">
        <v>40923</v>
      </c>
    </row>
    <row r="78" spans="1:20" hidden="1" x14ac:dyDescent="0.2">
      <c r="A78" t="s">
        <v>213</v>
      </c>
      <c r="D78" s="10">
        <v>40898</v>
      </c>
      <c r="E78" s="11" t="s">
        <v>19</v>
      </c>
      <c r="F78" t="s">
        <v>214</v>
      </c>
      <c r="G78" t="s">
        <v>28</v>
      </c>
      <c r="I78" t="s">
        <v>8</v>
      </c>
      <c r="J78" t="s">
        <v>29</v>
      </c>
      <c r="L78" s="41">
        <f>218+20</f>
        <v>238</v>
      </c>
      <c r="M78" s="42"/>
      <c r="N78" s="43">
        <v>40929</v>
      </c>
      <c r="O78" s="44">
        <f>L78*0.196</f>
        <v>46.648000000000003</v>
      </c>
      <c r="P78" s="42"/>
      <c r="Q78" s="42" t="s">
        <v>30</v>
      </c>
      <c r="R78" s="42">
        <v>96.85</v>
      </c>
      <c r="S78" s="43">
        <v>40927</v>
      </c>
    </row>
    <row r="79" spans="1:20" x14ac:dyDescent="0.2">
      <c r="D79" s="10"/>
      <c r="E79" s="11"/>
      <c r="L79" s="41"/>
      <c r="M79" s="42"/>
      <c r="N79" s="43"/>
      <c r="O79" s="44"/>
      <c r="P79" s="42"/>
      <c r="Q79" s="42"/>
      <c r="R79" s="42"/>
      <c r="S79" s="42"/>
    </row>
    <row r="80" spans="1:20" x14ac:dyDescent="0.2">
      <c r="D80" s="10"/>
      <c r="E80" s="11"/>
      <c r="L80" s="41"/>
      <c r="M80" s="42"/>
      <c r="N80" s="43"/>
      <c r="O80" s="44"/>
      <c r="P80" s="42"/>
      <c r="Q80" s="42"/>
      <c r="R80" s="42"/>
      <c r="S80" s="42"/>
    </row>
    <row r="81" spans="12:18" x14ac:dyDescent="0.2">
      <c r="L81" s="38">
        <f>SUBTOTAL(9,L3:L77)</f>
        <v>155012.42000000001</v>
      </c>
      <c r="M81">
        <v>2011</v>
      </c>
      <c r="O81" s="38">
        <f>SUBTOTAL(9,O3:O75)</f>
        <v>0</v>
      </c>
      <c r="R81" s="38">
        <f>SUBTOTAL(9,R3:R75)</f>
        <v>0</v>
      </c>
    </row>
    <row r="82" spans="12:18" x14ac:dyDescent="0.2">
      <c r="L82" s="47">
        <f>L81/'2010'!L63</f>
        <v>0.79569323196500485</v>
      </c>
      <c r="M82" s="48" t="s">
        <v>212</v>
      </c>
      <c r="R82" s="40">
        <f>L81-R81</f>
        <v>155012.42000000001</v>
      </c>
    </row>
    <row r="83" spans="12:18" x14ac:dyDescent="0.2">
      <c r="R83" s="39">
        <f>(L81-R81)/L81</f>
        <v>1</v>
      </c>
    </row>
  </sheetData>
  <sheetProtection selectLockedCells="1" selectUnlockedCells="1"/>
  <autoFilter ref="A2:S78">
    <filterColumn colId="8">
      <filters>
        <filter val="Commission"/>
      </filters>
    </filterColumn>
  </autoFilter>
  <phoneticPr fontId="0" type="noConversion"/>
  <pageMargins left="0.74791666666666667" right="0.74791666666666667" top="0.98402777777777772" bottom="0.98402777777777772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2009</vt:lpstr>
      <vt:lpstr>2010</vt:lpstr>
      <vt:lpstr>2011</vt:lpstr>
      <vt:lpstr>'2011'!Zone_d_impression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2011-12-17T11:26:51Z</cp:lastPrinted>
  <dcterms:created xsi:type="dcterms:W3CDTF">2011-11-18T14:39:33Z</dcterms:created>
  <dcterms:modified xsi:type="dcterms:W3CDTF">2011-12-28T09:15:33Z</dcterms:modified>
</cp:coreProperties>
</file>